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halingproperties.sharepoint.com/sites/MHCProperties/Shared Documents/Prospects/Campgrounds/Under Review &amp; Contract/Lake Bluff Campground/Purchase/Pitchbook Docs/Lake Bluff Pitchbook Share Folder/"/>
    </mc:Choice>
  </mc:AlternateContent>
  <xr:revisionPtr revIDLastSave="3143" documentId="8_{31351997-3F32-4F10-A0AE-0B89281B0AF6}" xr6:coauthVersionLast="47" xr6:coauthVersionMax="47" xr10:uidLastSave="{6CD97D9A-395E-4041-8A3D-5D798502DE1A}"/>
  <bookViews>
    <workbookView xWindow="22932" yWindow="-108" windowWidth="23256" windowHeight="12576" activeTab="1" xr2:uid="{8BC858DA-04B8-45C2-9690-1F794038B094}"/>
  </bookViews>
  <sheets>
    <sheet name="Executive Summary" sheetId="8" r:id="rId1"/>
    <sheet name="Cash Flow 10 Yr" sheetId="1" r:id="rId2"/>
    <sheet name="Dashboard Control" sheetId="2" r:id="rId3"/>
    <sheet name="Revenue Streams" sheetId="3" r:id="rId4"/>
    <sheet name="Sources &amp; Uses" sheetId="4" r:id="rId5"/>
    <sheet name="Amorization" sheetId="6" r:id="rId6"/>
    <sheet name="Exit Stops" sheetId="5" r:id="rId7"/>
    <sheet name="IRR Calculator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AC7" i="3"/>
  <c r="AD7" i="3"/>
  <c r="AE7" i="3"/>
  <c r="AF7" i="3"/>
  <c r="AG7" i="3"/>
  <c r="AH7" i="3"/>
  <c r="AI7" i="3"/>
  <c r="AJ7" i="3"/>
  <c r="AK7" i="3"/>
  <c r="AC8" i="3"/>
  <c r="AD8" i="3"/>
  <c r="AE8" i="3"/>
  <c r="AF8" i="3"/>
  <c r="AG8" i="3"/>
  <c r="AH8" i="3"/>
  <c r="AI8" i="3"/>
  <c r="AJ8" i="3"/>
  <c r="AK8" i="3"/>
  <c r="AC9" i="3"/>
  <c r="AD9" i="3"/>
  <c r="AE9" i="3"/>
  <c r="AF9" i="3"/>
  <c r="AG9" i="3"/>
  <c r="AH9" i="3"/>
  <c r="AI9" i="3"/>
  <c r="AJ9" i="3"/>
  <c r="AK9" i="3"/>
  <c r="AC10" i="3"/>
  <c r="AD10" i="3"/>
  <c r="AE10" i="3"/>
  <c r="AF10" i="3"/>
  <c r="AG10" i="3"/>
  <c r="AH10" i="3"/>
  <c r="AI10" i="3"/>
  <c r="AJ10" i="3"/>
  <c r="AK10" i="3"/>
  <c r="AC11" i="3"/>
  <c r="AD11" i="3"/>
  <c r="AE11" i="3"/>
  <c r="AF11" i="3"/>
  <c r="AG11" i="3"/>
  <c r="AH11" i="3"/>
  <c r="AI11" i="3"/>
  <c r="AJ11" i="3"/>
  <c r="AK11" i="3"/>
  <c r="AC12" i="3"/>
  <c r="AD12" i="3"/>
  <c r="AE12" i="3"/>
  <c r="AF12" i="3"/>
  <c r="AG12" i="3"/>
  <c r="AH12" i="3"/>
  <c r="AI12" i="3"/>
  <c r="AJ12" i="3"/>
  <c r="AK12" i="3"/>
  <c r="AC13" i="3"/>
  <c r="AD13" i="3"/>
  <c r="AE13" i="3"/>
  <c r="AF13" i="3"/>
  <c r="AG13" i="3"/>
  <c r="AH13" i="3"/>
  <c r="AI13" i="3"/>
  <c r="AJ13" i="3"/>
  <c r="AK13" i="3"/>
  <c r="AC14" i="3"/>
  <c r="AD14" i="3"/>
  <c r="AE14" i="3"/>
  <c r="AF14" i="3"/>
  <c r="AG14" i="3"/>
  <c r="AH14" i="3"/>
  <c r="AI14" i="3"/>
  <c r="AJ14" i="3"/>
  <c r="AK14" i="3"/>
  <c r="AC15" i="3"/>
  <c r="AD15" i="3"/>
  <c r="AE15" i="3"/>
  <c r="AF15" i="3"/>
  <c r="AG15" i="3"/>
  <c r="AH15" i="3"/>
  <c r="AI15" i="3"/>
  <c r="AJ15" i="3"/>
  <c r="AK15" i="3"/>
  <c r="AC16" i="3"/>
  <c r="AD16" i="3"/>
  <c r="AE16" i="3"/>
  <c r="AF16" i="3"/>
  <c r="AG16" i="3"/>
  <c r="AH16" i="3"/>
  <c r="AI16" i="3"/>
  <c r="AJ16" i="3"/>
  <c r="AK16" i="3"/>
  <c r="AC17" i="3"/>
  <c r="AD17" i="3"/>
  <c r="AE17" i="3"/>
  <c r="AF17" i="3"/>
  <c r="AG17" i="3"/>
  <c r="AH17" i="3"/>
  <c r="AI17" i="3"/>
  <c r="AJ17" i="3"/>
  <c r="AK17" i="3"/>
  <c r="AC18" i="3"/>
  <c r="AD18" i="3"/>
  <c r="AE18" i="3"/>
  <c r="AF18" i="3"/>
  <c r="AG18" i="3"/>
  <c r="AH18" i="3"/>
  <c r="AI18" i="3"/>
  <c r="AJ18" i="3"/>
  <c r="AK18" i="3"/>
  <c r="AC19" i="3"/>
  <c r="AD19" i="3"/>
  <c r="AE19" i="3"/>
  <c r="AF19" i="3"/>
  <c r="AG19" i="3"/>
  <c r="AH19" i="3"/>
  <c r="AI19" i="3"/>
  <c r="AJ19" i="3"/>
  <c r="AK19" i="3"/>
  <c r="AC20" i="3"/>
  <c r="AD20" i="3"/>
  <c r="AE20" i="3"/>
  <c r="AF20" i="3"/>
  <c r="AG20" i="3"/>
  <c r="AH20" i="3"/>
  <c r="AI20" i="3"/>
  <c r="AJ20" i="3"/>
  <c r="AK20" i="3"/>
  <c r="AC21" i="3"/>
  <c r="AD21" i="3"/>
  <c r="AE21" i="3"/>
  <c r="AF21" i="3"/>
  <c r="AG21" i="3"/>
  <c r="AH21" i="3"/>
  <c r="AI21" i="3"/>
  <c r="AJ21" i="3"/>
  <c r="AK21" i="3"/>
  <c r="AC22" i="3"/>
  <c r="AD22" i="3"/>
  <c r="AE22" i="3"/>
  <c r="AF22" i="3"/>
  <c r="AG22" i="3"/>
  <c r="AH22" i="3"/>
  <c r="AI22" i="3"/>
  <c r="AJ22" i="3"/>
  <c r="AK22" i="3"/>
  <c r="AC23" i="3"/>
  <c r="AD23" i="3"/>
  <c r="AE23" i="3"/>
  <c r="AF23" i="3"/>
  <c r="AG23" i="3"/>
  <c r="AH23" i="3"/>
  <c r="AI23" i="3"/>
  <c r="AJ23" i="3"/>
  <c r="AK23" i="3"/>
  <c r="AC24" i="3"/>
  <c r="AD24" i="3"/>
  <c r="AE24" i="3"/>
  <c r="AF24" i="3"/>
  <c r="AG24" i="3"/>
  <c r="AH24" i="3"/>
  <c r="AI24" i="3"/>
  <c r="AJ24" i="3"/>
  <c r="AK24" i="3"/>
  <c r="AC25" i="3"/>
  <c r="AD25" i="3"/>
  <c r="AE25" i="3"/>
  <c r="AF25" i="3"/>
  <c r="AG25" i="3"/>
  <c r="AH25" i="3"/>
  <c r="AI25" i="3"/>
  <c r="AJ25" i="3"/>
  <c r="AK25" i="3"/>
  <c r="AC26" i="3"/>
  <c r="AD26" i="3"/>
  <c r="AE26" i="3"/>
  <c r="AF26" i="3"/>
  <c r="AG26" i="3"/>
  <c r="AH26" i="3"/>
  <c r="AI26" i="3"/>
  <c r="AJ26" i="3"/>
  <c r="AK26" i="3"/>
  <c r="AC27" i="3"/>
  <c r="AD27" i="3"/>
  <c r="AE27" i="3"/>
  <c r="AF27" i="3"/>
  <c r="AG27" i="3"/>
  <c r="AH27" i="3"/>
  <c r="AI27" i="3"/>
  <c r="AJ27" i="3"/>
  <c r="AK27" i="3"/>
  <c r="AC28" i="3"/>
  <c r="AD28" i="3"/>
  <c r="AE28" i="3"/>
  <c r="AF28" i="3"/>
  <c r="AG28" i="3"/>
  <c r="AH28" i="3"/>
  <c r="AI28" i="3"/>
  <c r="AJ28" i="3"/>
  <c r="AK28" i="3"/>
  <c r="AC29" i="3"/>
  <c r="AD29" i="3"/>
  <c r="AE29" i="3"/>
  <c r="AF29" i="3"/>
  <c r="AG29" i="3"/>
  <c r="AH29" i="3"/>
  <c r="AI29" i="3"/>
  <c r="AJ29" i="3"/>
  <c r="AK29" i="3"/>
  <c r="AC30" i="3"/>
  <c r="AD30" i="3"/>
  <c r="AE30" i="3"/>
  <c r="AF30" i="3"/>
  <c r="AG30" i="3"/>
  <c r="AH30" i="3"/>
  <c r="AI30" i="3"/>
  <c r="AJ30" i="3"/>
  <c r="AK30" i="3"/>
  <c r="AC31" i="3"/>
  <c r="AD31" i="3"/>
  <c r="AE31" i="3"/>
  <c r="AF31" i="3"/>
  <c r="AG31" i="3"/>
  <c r="AH31" i="3"/>
  <c r="AI31" i="3"/>
  <c r="AJ31" i="3"/>
  <c r="AK31" i="3"/>
  <c r="AC32" i="3"/>
  <c r="AD32" i="3"/>
  <c r="AE32" i="3"/>
  <c r="AF32" i="3"/>
  <c r="AG32" i="3"/>
  <c r="AH32" i="3"/>
  <c r="AI32" i="3"/>
  <c r="AJ32" i="3"/>
  <c r="AK32" i="3"/>
  <c r="AC33" i="3"/>
  <c r="AD33" i="3"/>
  <c r="AE33" i="3"/>
  <c r="AF33" i="3"/>
  <c r="AG33" i="3"/>
  <c r="AH33" i="3"/>
  <c r="AI33" i="3"/>
  <c r="AJ33" i="3"/>
  <c r="AK33" i="3"/>
  <c r="AC34" i="3"/>
  <c r="AD34" i="3"/>
  <c r="AE34" i="3"/>
  <c r="AF34" i="3"/>
  <c r="AG34" i="3"/>
  <c r="AH34" i="3"/>
  <c r="AI34" i="3"/>
  <c r="AJ34" i="3"/>
  <c r="AK34" i="3"/>
  <c r="AC35" i="3"/>
  <c r="AD35" i="3"/>
  <c r="AE35" i="3"/>
  <c r="AF35" i="3"/>
  <c r="AG35" i="3"/>
  <c r="AH35" i="3"/>
  <c r="AI35" i="3"/>
  <c r="AJ35" i="3"/>
  <c r="AK35" i="3"/>
  <c r="AC36" i="3"/>
  <c r="AD36" i="3"/>
  <c r="AE36" i="3"/>
  <c r="AF36" i="3"/>
  <c r="AG36" i="3"/>
  <c r="AH36" i="3"/>
  <c r="AI36" i="3"/>
  <c r="AJ36" i="3"/>
  <c r="AK36" i="3"/>
  <c r="AC37" i="3"/>
  <c r="AD37" i="3"/>
  <c r="AE37" i="3"/>
  <c r="AF37" i="3"/>
  <c r="AG37" i="3"/>
  <c r="AH37" i="3"/>
  <c r="AI37" i="3"/>
  <c r="AJ37" i="3"/>
  <c r="AK37" i="3"/>
  <c r="AC38" i="3"/>
  <c r="AD38" i="3"/>
  <c r="AE38" i="3"/>
  <c r="AF38" i="3"/>
  <c r="AG38" i="3"/>
  <c r="AH38" i="3"/>
  <c r="AI38" i="3"/>
  <c r="AJ38" i="3"/>
  <c r="AK38" i="3"/>
  <c r="AC39" i="3"/>
  <c r="AD39" i="3"/>
  <c r="AE39" i="3"/>
  <c r="AF39" i="3"/>
  <c r="AG39" i="3"/>
  <c r="AH39" i="3"/>
  <c r="AI39" i="3"/>
  <c r="AJ39" i="3"/>
  <c r="AK39" i="3"/>
  <c r="AC40" i="3"/>
  <c r="AD40" i="3"/>
  <c r="AE40" i="3"/>
  <c r="AF40" i="3"/>
  <c r="AG40" i="3"/>
  <c r="AH40" i="3"/>
  <c r="AI40" i="3"/>
  <c r="AJ40" i="3"/>
  <c r="AK40" i="3"/>
  <c r="AC41" i="3"/>
  <c r="AD41" i="3"/>
  <c r="AE41" i="3"/>
  <c r="AF41" i="3"/>
  <c r="AG41" i="3"/>
  <c r="AH41" i="3"/>
  <c r="AI41" i="3"/>
  <c r="AJ41" i="3"/>
  <c r="AK41" i="3"/>
  <c r="AC42" i="3"/>
  <c r="AD42" i="3"/>
  <c r="AE42" i="3"/>
  <c r="AF42" i="3"/>
  <c r="AG42" i="3"/>
  <c r="AH42" i="3"/>
  <c r="AI42" i="3"/>
  <c r="AJ42" i="3"/>
  <c r="AK42" i="3"/>
  <c r="AC43" i="3"/>
  <c r="AD43" i="3"/>
  <c r="AE43" i="3"/>
  <c r="AF43" i="3"/>
  <c r="AG43" i="3"/>
  <c r="AH43" i="3"/>
  <c r="AI43" i="3"/>
  <c r="AJ43" i="3"/>
  <c r="AK43" i="3"/>
  <c r="AC44" i="3"/>
  <c r="AD44" i="3"/>
  <c r="AE44" i="3"/>
  <c r="AF44" i="3"/>
  <c r="AG44" i="3"/>
  <c r="AH44" i="3"/>
  <c r="AI44" i="3"/>
  <c r="AJ44" i="3"/>
  <c r="AK44" i="3"/>
  <c r="AC45" i="3"/>
  <c r="AD45" i="3"/>
  <c r="AE45" i="3"/>
  <c r="AF45" i="3"/>
  <c r="AG45" i="3"/>
  <c r="AH45" i="3"/>
  <c r="AI45" i="3"/>
  <c r="AJ45" i="3"/>
  <c r="AK45" i="3"/>
  <c r="AC46" i="3"/>
  <c r="AD46" i="3"/>
  <c r="AE46" i="3"/>
  <c r="AF46" i="3"/>
  <c r="AG46" i="3"/>
  <c r="AH46" i="3"/>
  <c r="AI46" i="3"/>
  <c r="AJ46" i="3"/>
  <c r="AK46" i="3"/>
  <c r="AC47" i="3"/>
  <c r="AD47" i="3"/>
  <c r="AE47" i="3"/>
  <c r="AF47" i="3"/>
  <c r="AG47" i="3"/>
  <c r="AH47" i="3"/>
  <c r="AI47" i="3"/>
  <c r="AJ47" i="3"/>
  <c r="AK47" i="3"/>
  <c r="AC48" i="3"/>
  <c r="AD48" i="3"/>
  <c r="AE48" i="3"/>
  <c r="AF48" i="3"/>
  <c r="AG48" i="3"/>
  <c r="AH48" i="3"/>
  <c r="AI48" i="3"/>
  <c r="AJ48" i="3"/>
  <c r="AK48" i="3"/>
  <c r="AC49" i="3"/>
  <c r="AD49" i="3"/>
  <c r="AE49" i="3"/>
  <c r="AF49" i="3"/>
  <c r="AG49" i="3"/>
  <c r="AH49" i="3"/>
  <c r="AI49" i="3"/>
  <c r="AJ49" i="3"/>
  <c r="AK49" i="3"/>
  <c r="AC50" i="3"/>
  <c r="AD50" i="3"/>
  <c r="AE50" i="3"/>
  <c r="AF50" i="3"/>
  <c r="AG50" i="3"/>
  <c r="AH50" i="3"/>
  <c r="AI50" i="3"/>
  <c r="AJ50" i="3"/>
  <c r="AK50" i="3"/>
  <c r="AC51" i="3"/>
  <c r="AD51" i="3"/>
  <c r="AE51" i="3"/>
  <c r="AF51" i="3"/>
  <c r="AG51" i="3"/>
  <c r="AH51" i="3"/>
  <c r="AI51" i="3"/>
  <c r="AJ51" i="3"/>
  <c r="AK51" i="3"/>
  <c r="AC52" i="3"/>
  <c r="AD52" i="3"/>
  <c r="AE52" i="3"/>
  <c r="AF52" i="3"/>
  <c r="AG52" i="3"/>
  <c r="AH52" i="3"/>
  <c r="AI52" i="3"/>
  <c r="AJ52" i="3"/>
  <c r="AK52" i="3"/>
  <c r="AC53" i="3"/>
  <c r="AD53" i="3"/>
  <c r="AE53" i="3"/>
  <c r="AF53" i="3"/>
  <c r="AG53" i="3"/>
  <c r="AH53" i="3"/>
  <c r="AI53" i="3"/>
  <c r="AJ53" i="3"/>
  <c r="AK53" i="3"/>
  <c r="AC54" i="3"/>
  <c r="AD54" i="3"/>
  <c r="AE54" i="3"/>
  <c r="AF54" i="3"/>
  <c r="AG54" i="3"/>
  <c r="AH54" i="3"/>
  <c r="AI54" i="3"/>
  <c r="AJ54" i="3"/>
  <c r="AK54" i="3"/>
  <c r="AC55" i="3"/>
  <c r="AD55" i="3"/>
  <c r="AE55" i="3"/>
  <c r="AF55" i="3"/>
  <c r="AG55" i="3"/>
  <c r="AH55" i="3"/>
  <c r="AI55" i="3"/>
  <c r="AJ55" i="3"/>
  <c r="AK55" i="3"/>
  <c r="AC56" i="3"/>
  <c r="AD56" i="3"/>
  <c r="AE56" i="3"/>
  <c r="AF56" i="3"/>
  <c r="AG56" i="3"/>
  <c r="AH56" i="3"/>
  <c r="AI56" i="3"/>
  <c r="AJ56" i="3"/>
  <c r="AK56" i="3"/>
  <c r="AC57" i="3"/>
  <c r="AD57" i="3"/>
  <c r="AE57" i="3"/>
  <c r="AF57" i="3"/>
  <c r="AG57" i="3"/>
  <c r="AH57" i="3"/>
  <c r="AI57" i="3"/>
  <c r="AJ57" i="3"/>
  <c r="AK57" i="3"/>
  <c r="AC58" i="3"/>
  <c r="AD58" i="3"/>
  <c r="AE58" i="3"/>
  <c r="AF58" i="3"/>
  <c r="AG58" i="3"/>
  <c r="AH58" i="3"/>
  <c r="AI58" i="3"/>
  <c r="AJ58" i="3"/>
  <c r="AK58" i="3"/>
  <c r="AC59" i="3"/>
  <c r="AD59" i="3"/>
  <c r="AE59" i="3"/>
  <c r="AF59" i="3"/>
  <c r="AG59" i="3"/>
  <c r="AH59" i="3"/>
  <c r="AI59" i="3"/>
  <c r="AJ59" i="3"/>
  <c r="AK59" i="3"/>
  <c r="AC60" i="3"/>
  <c r="AD60" i="3"/>
  <c r="AE60" i="3"/>
  <c r="AF60" i="3"/>
  <c r="AG60" i="3"/>
  <c r="AH60" i="3"/>
  <c r="AI60" i="3"/>
  <c r="AJ60" i="3"/>
  <c r="AK60" i="3"/>
  <c r="AC61" i="3"/>
  <c r="AD61" i="3"/>
  <c r="AE61" i="3"/>
  <c r="AF61" i="3"/>
  <c r="AG61" i="3"/>
  <c r="AH61" i="3"/>
  <c r="AI61" i="3"/>
  <c r="AJ61" i="3"/>
  <c r="AK61" i="3"/>
  <c r="AC62" i="3"/>
  <c r="AD62" i="3"/>
  <c r="AE62" i="3"/>
  <c r="AF62" i="3"/>
  <c r="AG62" i="3"/>
  <c r="AH62" i="3"/>
  <c r="AI62" i="3"/>
  <c r="AJ62" i="3"/>
  <c r="AK62" i="3"/>
  <c r="AC63" i="3"/>
  <c r="AD63" i="3"/>
  <c r="AE63" i="3"/>
  <c r="AF63" i="3"/>
  <c r="AG63" i="3"/>
  <c r="AH63" i="3"/>
  <c r="AI63" i="3"/>
  <c r="AJ63" i="3"/>
  <c r="AK63" i="3"/>
  <c r="AC64" i="3"/>
  <c r="AD64" i="3"/>
  <c r="AE64" i="3"/>
  <c r="AF64" i="3"/>
  <c r="AG64" i="3"/>
  <c r="AH64" i="3"/>
  <c r="AI64" i="3"/>
  <c r="AJ64" i="3"/>
  <c r="AK64" i="3"/>
  <c r="AC65" i="3"/>
  <c r="AD65" i="3"/>
  <c r="AE65" i="3"/>
  <c r="AF65" i="3"/>
  <c r="AG65" i="3"/>
  <c r="AH65" i="3"/>
  <c r="AI65" i="3"/>
  <c r="AJ65" i="3"/>
  <c r="AK65" i="3"/>
  <c r="AC66" i="3"/>
  <c r="AD66" i="3"/>
  <c r="AE66" i="3"/>
  <c r="AF66" i="3"/>
  <c r="AG66" i="3"/>
  <c r="AH66" i="3"/>
  <c r="AI66" i="3"/>
  <c r="AJ66" i="3"/>
  <c r="AK66" i="3"/>
  <c r="AC67" i="3"/>
  <c r="AD67" i="3"/>
  <c r="AE67" i="3"/>
  <c r="AF67" i="3"/>
  <c r="AG67" i="3"/>
  <c r="AH67" i="3"/>
  <c r="AI67" i="3"/>
  <c r="AJ67" i="3"/>
  <c r="AK67" i="3"/>
  <c r="AC68" i="3"/>
  <c r="AD68" i="3"/>
  <c r="AE68" i="3"/>
  <c r="AF68" i="3"/>
  <c r="AG68" i="3"/>
  <c r="AH68" i="3"/>
  <c r="AI68" i="3"/>
  <c r="AJ68" i="3"/>
  <c r="AK68" i="3"/>
  <c r="AC69" i="3"/>
  <c r="AD69" i="3"/>
  <c r="AE69" i="3"/>
  <c r="AF69" i="3"/>
  <c r="AG69" i="3"/>
  <c r="AH69" i="3"/>
  <c r="AI69" i="3"/>
  <c r="AJ69" i="3"/>
  <c r="AK69" i="3"/>
  <c r="AC70" i="3"/>
  <c r="AD70" i="3"/>
  <c r="AE70" i="3"/>
  <c r="AF70" i="3"/>
  <c r="AG70" i="3"/>
  <c r="AH70" i="3"/>
  <c r="AI70" i="3"/>
  <c r="AJ70" i="3"/>
  <c r="AK70" i="3"/>
  <c r="AC71" i="3"/>
  <c r="AD71" i="3"/>
  <c r="AE71" i="3"/>
  <c r="AF71" i="3"/>
  <c r="AG71" i="3"/>
  <c r="AH71" i="3"/>
  <c r="AI71" i="3"/>
  <c r="AJ71" i="3"/>
  <c r="AK71" i="3"/>
  <c r="AC72" i="3"/>
  <c r="AD72" i="3"/>
  <c r="AE72" i="3"/>
  <c r="AF72" i="3"/>
  <c r="AG72" i="3"/>
  <c r="AH72" i="3"/>
  <c r="AI72" i="3"/>
  <c r="AJ72" i="3"/>
  <c r="AK72" i="3"/>
  <c r="AC73" i="3"/>
  <c r="AD73" i="3"/>
  <c r="AE73" i="3"/>
  <c r="AF73" i="3"/>
  <c r="AG73" i="3"/>
  <c r="AH73" i="3"/>
  <c r="AI73" i="3"/>
  <c r="AJ73" i="3"/>
  <c r="AK73" i="3"/>
  <c r="AC74" i="3"/>
  <c r="AD74" i="3"/>
  <c r="AE74" i="3"/>
  <c r="AF74" i="3"/>
  <c r="AG74" i="3"/>
  <c r="AH74" i="3"/>
  <c r="AI74" i="3"/>
  <c r="AJ74" i="3"/>
  <c r="AK74" i="3"/>
  <c r="AC75" i="3"/>
  <c r="AD75" i="3"/>
  <c r="AE75" i="3"/>
  <c r="AF75" i="3"/>
  <c r="AG75" i="3"/>
  <c r="AH75" i="3"/>
  <c r="AI75" i="3"/>
  <c r="AJ75" i="3"/>
  <c r="AK75" i="3"/>
  <c r="AC76" i="3"/>
  <c r="AD76" i="3"/>
  <c r="AE76" i="3"/>
  <c r="AF76" i="3"/>
  <c r="AG76" i="3"/>
  <c r="AH76" i="3"/>
  <c r="AI76" i="3"/>
  <c r="AJ76" i="3"/>
  <c r="AK76" i="3"/>
  <c r="AC77" i="3"/>
  <c r="AD77" i="3"/>
  <c r="AE77" i="3"/>
  <c r="AF77" i="3"/>
  <c r="AG77" i="3"/>
  <c r="AH77" i="3"/>
  <c r="AI77" i="3"/>
  <c r="AJ77" i="3"/>
  <c r="AK77" i="3"/>
  <c r="AC78" i="3"/>
  <c r="AD78" i="3"/>
  <c r="AE78" i="3"/>
  <c r="AF78" i="3"/>
  <c r="AG78" i="3"/>
  <c r="AH78" i="3"/>
  <c r="AI78" i="3"/>
  <c r="AJ78" i="3"/>
  <c r="AK78" i="3"/>
  <c r="AC79" i="3"/>
  <c r="AD79" i="3"/>
  <c r="AE79" i="3"/>
  <c r="AF79" i="3"/>
  <c r="AG79" i="3"/>
  <c r="AH79" i="3"/>
  <c r="AI79" i="3"/>
  <c r="AJ79" i="3"/>
  <c r="AK79" i="3"/>
  <c r="AC80" i="3"/>
  <c r="AD80" i="3"/>
  <c r="AE80" i="3"/>
  <c r="AF80" i="3"/>
  <c r="AG80" i="3"/>
  <c r="AH80" i="3"/>
  <c r="AI80" i="3"/>
  <c r="AJ80" i="3"/>
  <c r="AK80" i="3"/>
  <c r="AC81" i="3"/>
  <c r="AD81" i="3"/>
  <c r="AE81" i="3"/>
  <c r="AF81" i="3"/>
  <c r="AG81" i="3"/>
  <c r="AH81" i="3"/>
  <c r="AI81" i="3"/>
  <c r="AJ81" i="3"/>
  <c r="AK81" i="3"/>
  <c r="AC82" i="3"/>
  <c r="AD82" i="3"/>
  <c r="AE82" i="3"/>
  <c r="AF82" i="3"/>
  <c r="AG82" i="3"/>
  <c r="AH82" i="3"/>
  <c r="AI82" i="3"/>
  <c r="AJ82" i="3"/>
  <c r="AK82" i="3"/>
  <c r="AC83" i="3"/>
  <c r="AD83" i="3"/>
  <c r="AE83" i="3"/>
  <c r="AF83" i="3"/>
  <c r="AG83" i="3"/>
  <c r="AH83" i="3"/>
  <c r="AI83" i="3"/>
  <c r="AJ83" i="3"/>
  <c r="AK83" i="3"/>
  <c r="AC84" i="3"/>
  <c r="AD84" i="3"/>
  <c r="AE84" i="3"/>
  <c r="AF84" i="3"/>
  <c r="AG84" i="3"/>
  <c r="AH84" i="3"/>
  <c r="AI84" i="3"/>
  <c r="AJ84" i="3"/>
  <c r="AK84" i="3"/>
  <c r="AC85" i="3"/>
  <c r="AD85" i="3"/>
  <c r="AE85" i="3"/>
  <c r="AF85" i="3"/>
  <c r="AG85" i="3"/>
  <c r="AH85" i="3"/>
  <c r="AI85" i="3"/>
  <c r="AJ85" i="3"/>
  <c r="AK85" i="3"/>
  <c r="AC86" i="3"/>
  <c r="AD86" i="3"/>
  <c r="AE86" i="3"/>
  <c r="AF86" i="3"/>
  <c r="AG86" i="3"/>
  <c r="AH86" i="3"/>
  <c r="AI86" i="3"/>
  <c r="AJ86" i="3"/>
  <c r="AK86" i="3"/>
  <c r="AC87" i="3"/>
  <c r="AD87" i="3"/>
  <c r="AE87" i="3"/>
  <c r="AF87" i="3"/>
  <c r="AG87" i="3"/>
  <c r="AH87" i="3"/>
  <c r="AI87" i="3"/>
  <c r="AJ87" i="3"/>
  <c r="AK87" i="3"/>
  <c r="AC88" i="3"/>
  <c r="AD88" i="3"/>
  <c r="AE88" i="3"/>
  <c r="AF88" i="3"/>
  <c r="AG88" i="3"/>
  <c r="AH88" i="3"/>
  <c r="AI88" i="3"/>
  <c r="AJ88" i="3"/>
  <c r="AK88" i="3"/>
  <c r="AC89" i="3"/>
  <c r="AD89" i="3"/>
  <c r="AE89" i="3"/>
  <c r="AF89" i="3"/>
  <c r="AG89" i="3"/>
  <c r="AH89" i="3"/>
  <c r="AI89" i="3"/>
  <c r="AJ89" i="3"/>
  <c r="AK89" i="3"/>
  <c r="AC90" i="3"/>
  <c r="AD90" i="3"/>
  <c r="AE90" i="3"/>
  <c r="AF90" i="3"/>
  <c r="AG90" i="3"/>
  <c r="AH90" i="3"/>
  <c r="AI90" i="3"/>
  <c r="AJ90" i="3"/>
  <c r="AK90" i="3"/>
  <c r="AC91" i="3"/>
  <c r="AD91" i="3"/>
  <c r="AE91" i="3"/>
  <c r="AF91" i="3"/>
  <c r="AG91" i="3"/>
  <c r="AH91" i="3"/>
  <c r="AI91" i="3"/>
  <c r="AJ91" i="3"/>
  <c r="AK91" i="3"/>
  <c r="AC92" i="3"/>
  <c r="AD92" i="3"/>
  <c r="AE92" i="3"/>
  <c r="AF92" i="3"/>
  <c r="AG92" i="3"/>
  <c r="AH92" i="3"/>
  <c r="AI92" i="3"/>
  <c r="AJ92" i="3"/>
  <c r="AK92" i="3"/>
  <c r="AC93" i="3"/>
  <c r="AD93" i="3"/>
  <c r="AE93" i="3"/>
  <c r="AF93" i="3"/>
  <c r="AG93" i="3"/>
  <c r="AH93" i="3"/>
  <c r="AI93" i="3"/>
  <c r="AJ93" i="3"/>
  <c r="AK93" i="3"/>
  <c r="AC94" i="3"/>
  <c r="AD94" i="3"/>
  <c r="AE94" i="3"/>
  <c r="AF94" i="3"/>
  <c r="AG94" i="3"/>
  <c r="AH94" i="3"/>
  <c r="AI94" i="3"/>
  <c r="AJ94" i="3"/>
  <c r="AK9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7" i="3"/>
  <c r="AB118" i="3"/>
  <c r="AB99" i="3"/>
  <c r="AA102" i="3"/>
  <c r="E13" i="1" s="1"/>
  <c r="B28" i="2"/>
  <c r="B27" i="2"/>
  <c r="B26" i="2"/>
  <c r="D30" i="2"/>
  <c r="I10" i="4"/>
  <c r="I13" i="4" l="1"/>
  <c r="I17" i="4"/>
  <c r="D9" i="2"/>
  <c r="S24" i="2" s="1"/>
  <c r="B16" i="1"/>
  <c r="B15" i="1"/>
  <c r="B14" i="1"/>
  <c r="B12" i="1"/>
  <c r="B11" i="1"/>
  <c r="AA106" i="3"/>
  <c r="AC106" i="3"/>
  <c r="AD106" i="3"/>
  <c r="AE106" i="3"/>
  <c r="AF106" i="3"/>
  <c r="AG106" i="3"/>
  <c r="AH106" i="3"/>
  <c r="AI106" i="3"/>
  <c r="AJ106" i="3"/>
  <c r="AK106" i="3"/>
  <c r="AB106" i="3"/>
  <c r="AA105" i="3"/>
  <c r="AA104" i="3"/>
  <c r="M98" i="3"/>
  <c r="AA98" i="3"/>
  <c r="M100" i="3"/>
  <c r="AA100" i="3"/>
  <c r="E15" i="1"/>
  <c r="AB110" i="3"/>
  <c r="F15" i="1" s="1"/>
  <c r="AA107" i="3" l="1"/>
  <c r="AA101" i="3"/>
  <c r="AC110" i="3"/>
  <c r="G15" i="1" s="1"/>
  <c r="T115" i="3"/>
  <c r="M95" i="3"/>
  <c r="E12" i="1" l="1"/>
  <c r="D27" i="2"/>
  <c r="E14" i="1"/>
  <c r="D28" i="2"/>
  <c r="AB117" i="3"/>
  <c r="AC118" i="3"/>
  <c r="AB122" i="3"/>
  <c r="AB120" i="3"/>
  <c r="AB121" i="3"/>
  <c r="AD110" i="3"/>
  <c r="H15" i="1" s="1"/>
  <c r="AB119" i="3"/>
  <c r="AB100" i="3" s="1"/>
  <c r="AA95" i="3"/>
  <c r="AK4" i="3"/>
  <c r="AJ4" i="3"/>
  <c r="AI4" i="3"/>
  <c r="AH4" i="3"/>
  <c r="AG4" i="3"/>
  <c r="AF4" i="3"/>
  <c r="AE4" i="3"/>
  <c r="AD4" i="3"/>
  <c r="AC4" i="3"/>
  <c r="AB4" i="3"/>
  <c r="AA4" i="3"/>
  <c r="AC99" i="3" l="1"/>
  <c r="AD118" i="3"/>
  <c r="AC121" i="3"/>
  <c r="AB105" i="3"/>
  <c r="AC120" i="3"/>
  <c r="AB104" i="3"/>
  <c r="AC122" i="3"/>
  <c r="AB102" i="3"/>
  <c r="F13" i="1" s="1"/>
  <c r="AA96" i="3"/>
  <c r="AA109" i="3" s="1"/>
  <c r="AC119" i="3"/>
  <c r="AE110" i="3"/>
  <c r="I15" i="1" s="1"/>
  <c r="AD95" i="3"/>
  <c r="AH95" i="3"/>
  <c r="AJ95" i="3"/>
  <c r="AB95" i="3"/>
  <c r="AF95" i="3"/>
  <c r="AC95" i="3"/>
  <c r="AE95" i="3"/>
  <c r="AG95" i="3"/>
  <c r="AI95" i="3"/>
  <c r="AK95" i="3"/>
  <c r="AK96" i="3" s="1"/>
  <c r="E11" i="1" l="1"/>
  <c r="E16" i="1" s="1"/>
  <c r="E28" i="1" s="1"/>
  <c r="H33" i="2" s="1"/>
  <c r="D26" i="2"/>
  <c r="AE118" i="3"/>
  <c r="AD99" i="3"/>
  <c r="AB107" i="3"/>
  <c r="F14" i="1" s="1"/>
  <c r="AD122" i="3"/>
  <c r="AC102" i="3"/>
  <c r="G13" i="1" s="1"/>
  <c r="AD120" i="3"/>
  <c r="AC104" i="3"/>
  <c r="AD121" i="3"/>
  <c r="AC105" i="3"/>
  <c r="AG96" i="3"/>
  <c r="K11" i="1" s="1"/>
  <c r="AE96" i="3"/>
  <c r="I11" i="1" s="1"/>
  <c r="AH96" i="3"/>
  <c r="L11" i="1" s="1"/>
  <c r="AD96" i="3"/>
  <c r="H11" i="1" s="1"/>
  <c r="AC96" i="3"/>
  <c r="G11" i="1" s="1"/>
  <c r="AI96" i="3"/>
  <c r="M11" i="1" s="1"/>
  <c r="AF96" i="3"/>
  <c r="J11" i="1" s="1"/>
  <c r="AB96" i="3"/>
  <c r="F11" i="1" s="1"/>
  <c r="AJ96" i="3"/>
  <c r="N11" i="1" s="1"/>
  <c r="AD119" i="3"/>
  <c r="AC100" i="3"/>
  <c r="AF110" i="3"/>
  <c r="J15" i="1" s="1"/>
  <c r="AA111" i="3" l="1"/>
  <c r="D25" i="2"/>
  <c r="AF118" i="3"/>
  <c r="AE99" i="3"/>
  <c r="AE121" i="3"/>
  <c r="AD105" i="3"/>
  <c r="AC107" i="3"/>
  <c r="G14" i="1" s="1"/>
  <c r="AE120" i="3"/>
  <c r="AD104" i="3"/>
  <c r="AE122" i="3"/>
  <c r="AD102" i="3"/>
  <c r="H13" i="1" s="1"/>
  <c r="AE119" i="3"/>
  <c r="AD100" i="3"/>
  <c r="AG110" i="3"/>
  <c r="K15" i="1" s="1"/>
  <c r="W10" i="2"/>
  <c r="AG118" i="3" l="1"/>
  <c r="AF99" i="3"/>
  <c r="AD107" i="3"/>
  <c r="H14" i="1" s="1"/>
  <c r="AF122" i="3"/>
  <c r="AE102" i="3"/>
  <c r="I13" i="1" s="1"/>
  <c r="AF120" i="3"/>
  <c r="AE104" i="3"/>
  <c r="AF121" i="3"/>
  <c r="AE105" i="3"/>
  <c r="AF119" i="3"/>
  <c r="AE100" i="3"/>
  <c r="AH110" i="3"/>
  <c r="L15" i="1" s="1"/>
  <c r="AH118" i="3" l="1"/>
  <c r="AG99" i="3"/>
  <c r="AE107" i="3"/>
  <c r="I14" i="1" s="1"/>
  <c r="AG121" i="3"/>
  <c r="AF105" i="3"/>
  <c r="AG120" i="3"/>
  <c r="AF104" i="3"/>
  <c r="AG122" i="3"/>
  <c r="AF102" i="3"/>
  <c r="J13" i="1" s="1"/>
  <c r="AG119" i="3"/>
  <c r="AF100" i="3"/>
  <c r="AI110" i="3"/>
  <c r="AI118" i="3" l="1"/>
  <c r="AH99" i="3"/>
  <c r="AH122" i="3"/>
  <c r="AG102" i="3"/>
  <c r="K13" i="1" s="1"/>
  <c r="AH120" i="3"/>
  <c r="AG104" i="3"/>
  <c r="AH121" i="3"/>
  <c r="AG105" i="3"/>
  <c r="AF107" i="3"/>
  <c r="J14" i="1" s="1"/>
  <c r="AH119" i="3"/>
  <c r="AH100" i="3" s="1"/>
  <c r="AG100" i="3"/>
  <c r="M15" i="1"/>
  <c r="AJ110" i="3"/>
  <c r="AJ118" i="3" l="1"/>
  <c r="AI99" i="3"/>
  <c r="AI121" i="3"/>
  <c r="AH105" i="3"/>
  <c r="AG107" i="3"/>
  <c r="K14" i="1" s="1"/>
  <c r="AI120" i="3"/>
  <c r="AH104" i="3"/>
  <c r="AI122" i="3"/>
  <c r="AH102" i="3"/>
  <c r="L13" i="1" s="1"/>
  <c r="N15" i="1"/>
  <c r="AK110" i="3"/>
  <c r="AK118" i="3" l="1"/>
  <c r="AK99" i="3" s="1"/>
  <c r="AJ99" i="3"/>
  <c r="AJ122" i="3"/>
  <c r="AI102" i="3"/>
  <c r="M13" i="1" s="1"/>
  <c r="AH107" i="3"/>
  <c r="AJ120" i="3"/>
  <c r="AI104" i="3"/>
  <c r="AJ121" i="3"/>
  <c r="AI105" i="3"/>
  <c r="L14" i="1" l="1"/>
  <c r="AK121" i="3"/>
  <c r="AK105" i="3" s="1"/>
  <c r="AJ105" i="3"/>
  <c r="AK120" i="3"/>
  <c r="AK104" i="3" s="1"/>
  <c r="AJ104" i="3"/>
  <c r="AI107" i="3"/>
  <c r="M14" i="1" s="1"/>
  <c r="AK122" i="3"/>
  <c r="AK102" i="3" s="1"/>
  <c r="AJ102" i="3"/>
  <c r="N13" i="1" s="1"/>
  <c r="AI119" i="3"/>
  <c r="AI100" i="3" s="1"/>
  <c r="AK107" i="3" l="1"/>
  <c r="AJ107" i="3"/>
  <c r="N14" i="1" s="1"/>
  <c r="AJ119" i="3"/>
  <c r="AJ100" i="3" l="1"/>
  <c r="AK119" i="3"/>
  <c r="AK100" i="3" s="1"/>
  <c r="G4" i="6" l="1"/>
  <c r="B30" i="1"/>
  <c r="G36" i="4" l="1"/>
  <c r="H36" i="4"/>
  <c r="I14" i="4" l="1"/>
  <c r="B33" i="4" l="1"/>
  <c r="F33" i="4" l="1"/>
  <c r="I33" i="4" s="1"/>
  <c r="F25" i="4"/>
  <c r="I25" i="4" s="1"/>
  <c r="F26" i="4"/>
  <c r="I26" i="4" s="1"/>
  <c r="F27" i="4"/>
  <c r="I27" i="4" s="1"/>
  <c r="F28" i="4"/>
  <c r="I28" i="4" s="1"/>
  <c r="F29" i="4"/>
  <c r="I29" i="4" s="1"/>
  <c r="F30" i="4"/>
  <c r="I30" i="4" s="1"/>
  <c r="F31" i="4"/>
  <c r="I31" i="4" s="1"/>
  <c r="F32" i="4"/>
  <c r="I32" i="4" s="1"/>
  <c r="B35" i="4"/>
  <c r="B24" i="4"/>
  <c r="B25" i="4"/>
  <c r="B26" i="4"/>
  <c r="B27" i="4"/>
  <c r="B28" i="4"/>
  <c r="B29" i="4"/>
  <c r="B30" i="4"/>
  <c r="B31" i="4"/>
  <c r="B34" i="4"/>
  <c r="B32" i="4"/>
  <c r="O8" i="5" l="1"/>
  <c r="M8" i="5"/>
  <c r="J8" i="5" l="1"/>
  <c r="K8" i="5"/>
  <c r="E14" i="6" l="1"/>
  <c r="H7" i="6" s="1"/>
  <c r="E13" i="6"/>
  <c r="H6" i="6" s="1"/>
  <c r="E10" i="6"/>
  <c r="D6" i="4" s="1"/>
  <c r="E27" i="1"/>
  <c r="E31" i="1"/>
  <c r="E20" i="1"/>
  <c r="E21" i="1"/>
  <c r="E22" i="1"/>
  <c r="E23" i="1"/>
  <c r="E24" i="1"/>
  <c r="E25" i="1"/>
  <c r="E26" i="1"/>
  <c r="E19" i="1"/>
  <c r="I15" i="4"/>
  <c r="I16" i="4"/>
  <c r="G19" i="4"/>
  <c r="G21" i="4" s="1"/>
  <c r="H19" i="4"/>
  <c r="H21" i="4" s="1"/>
  <c r="B3" i="7"/>
  <c r="B3" i="6"/>
  <c r="B3" i="5"/>
  <c r="B3" i="4"/>
  <c r="C3" i="3"/>
  <c r="B31" i="1"/>
  <c r="B29" i="1"/>
  <c r="B20" i="1"/>
  <c r="B21" i="1"/>
  <c r="B22" i="1"/>
  <c r="B23" i="1"/>
  <c r="B24" i="1"/>
  <c r="B25" i="1"/>
  <c r="B26" i="1"/>
  <c r="B27" i="1"/>
  <c r="B28" i="1"/>
  <c r="B19" i="1"/>
  <c r="F20" i="1" l="1"/>
  <c r="G20" i="1" s="1"/>
  <c r="H20" i="1" s="1"/>
  <c r="I20" i="1" s="1"/>
  <c r="J20" i="1" s="1"/>
  <c r="K20" i="1" s="1"/>
  <c r="L20" i="1" s="1"/>
  <c r="M20" i="1" s="1"/>
  <c r="N20" i="1" s="1"/>
  <c r="F22" i="1"/>
  <c r="G22" i="1" s="1"/>
  <c r="H22" i="1" s="1"/>
  <c r="I22" i="1" s="1"/>
  <c r="J22" i="1" s="1"/>
  <c r="K22" i="1" s="1"/>
  <c r="L22" i="1" s="1"/>
  <c r="M22" i="1" s="1"/>
  <c r="N22" i="1" s="1"/>
  <c r="F21" i="1"/>
  <c r="G21" i="1" s="1"/>
  <c r="H21" i="1" s="1"/>
  <c r="I21" i="1" s="1"/>
  <c r="J21" i="1" s="1"/>
  <c r="K21" i="1" s="1"/>
  <c r="L21" i="1" s="1"/>
  <c r="M21" i="1" s="1"/>
  <c r="N21" i="1" s="1"/>
  <c r="F19" i="1"/>
  <c r="G19" i="1" s="1"/>
  <c r="H19" i="1" s="1"/>
  <c r="I19" i="1" s="1"/>
  <c r="F26" i="1"/>
  <c r="G26" i="1" s="1"/>
  <c r="H26" i="1" s="1"/>
  <c r="I26" i="1" s="1"/>
  <c r="J26" i="1" s="1"/>
  <c r="K26" i="1" s="1"/>
  <c r="L26" i="1" s="1"/>
  <c r="M26" i="1" s="1"/>
  <c r="N26" i="1" s="1"/>
  <c r="F31" i="1"/>
  <c r="G31" i="1" s="1"/>
  <c r="H31" i="1" s="1"/>
  <c r="I31" i="1" s="1"/>
  <c r="J31" i="1" s="1"/>
  <c r="K31" i="1" s="1"/>
  <c r="L31" i="1" s="1"/>
  <c r="M31" i="1" s="1"/>
  <c r="N31" i="1" s="1"/>
  <c r="F25" i="1"/>
  <c r="G25" i="1" s="1"/>
  <c r="H25" i="1" s="1"/>
  <c r="I25" i="1" s="1"/>
  <c r="J25" i="1" s="1"/>
  <c r="K25" i="1" s="1"/>
  <c r="L25" i="1" s="1"/>
  <c r="M25" i="1" s="1"/>
  <c r="N25" i="1" s="1"/>
  <c r="F27" i="1"/>
  <c r="G27" i="1" s="1"/>
  <c r="H27" i="1" s="1"/>
  <c r="I27" i="1" s="1"/>
  <c r="J27" i="1" s="1"/>
  <c r="K27" i="1" s="1"/>
  <c r="L27" i="1" s="1"/>
  <c r="M27" i="1" s="1"/>
  <c r="N27" i="1" s="1"/>
  <c r="F24" i="1"/>
  <c r="G24" i="1" s="1"/>
  <c r="H24" i="1" s="1"/>
  <c r="I24" i="1" s="1"/>
  <c r="J24" i="1" s="1"/>
  <c r="K24" i="1" s="1"/>
  <c r="L24" i="1" s="1"/>
  <c r="M24" i="1" s="1"/>
  <c r="N24" i="1" s="1"/>
  <c r="F23" i="1"/>
  <c r="G23" i="1" s="1"/>
  <c r="H23" i="1" s="1"/>
  <c r="I23" i="1" s="1"/>
  <c r="J23" i="1" s="1"/>
  <c r="K23" i="1" s="1"/>
  <c r="L23" i="1" s="1"/>
  <c r="M23" i="1" s="1"/>
  <c r="N23" i="1" s="1"/>
  <c r="J19" i="1" l="1"/>
  <c r="K19" i="1" l="1"/>
  <c r="L19" i="1" l="1"/>
  <c r="M19" i="1" l="1"/>
  <c r="N19" i="1" l="1"/>
  <c r="B3" i="1" l="1"/>
  <c r="E29" i="1" l="1"/>
  <c r="H34" i="2" l="1"/>
  <c r="E30" i="1"/>
  <c r="H35" i="2" s="1"/>
  <c r="F19" i="4"/>
  <c r="E32" i="1" l="1"/>
  <c r="E58" i="1" s="1"/>
  <c r="I19" i="4"/>
  <c r="N25" i="2" l="1"/>
  <c r="I21" i="4"/>
  <c r="E34" i="1"/>
  <c r="N26" i="2" l="1"/>
  <c r="E9" i="6"/>
  <c r="E12" i="6" s="1"/>
  <c r="S26" i="2" l="1"/>
  <c r="S25" i="2"/>
  <c r="E57" i="1"/>
  <c r="N37" i="2"/>
  <c r="N15" i="2"/>
  <c r="N17" i="2" l="1"/>
  <c r="F6" i="4" s="1"/>
  <c r="I6" i="4" s="1"/>
  <c r="F34" i="4"/>
  <c r="I34" i="4" s="1"/>
  <c r="E11" i="6"/>
  <c r="H5" i="6" l="1"/>
  <c r="I12" i="6" s="1"/>
  <c r="N27" i="2"/>
  <c r="J73" i="6"/>
  <c r="J57" i="6"/>
  <c r="J41" i="6"/>
  <c r="J143" i="6"/>
  <c r="J224" i="6"/>
  <c r="J246" i="6"/>
  <c r="J165" i="6"/>
  <c r="J37" i="6"/>
  <c r="J56" i="6"/>
  <c r="J43" i="6"/>
  <c r="J109" i="6"/>
  <c r="J115" i="6"/>
  <c r="J242" i="6"/>
  <c r="J235" i="6"/>
  <c r="J12" i="6"/>
  <c r="J192" i="6"/>
  <c r="J174" i="6"/>
  <c r="J110" i="6"/>
  <c r="J29" i="6"/>
  <c r="J196" i="6"/>
  <c r="J132" i="6"/>
  <c r="J52" i="6"/>
  <c r="J75" i="6"/>
  <c r="J121" i="6"/>
  <c r="J129" i="6"/>
  <c r="J227" i="6"/>
  <c r="J226" i="6"/>
  <c r="J40" i="6"/>
  <c r="J127" i="6"/>
  <c r="J63" i="6"/>
  <c r="J38" i="6"/>
  <c r="J149" i="6"/>
  <c r="J85" i="6"/>
  <c r="J60" i="6"/>
  <c r="J27" i="6"/>
  <c r="J58" i="6"/>
  <c r="J151" i="6"/>
  <c r="J88" i="6"/>
  <c r="J113" i="6"/>
  <c r="J201" i="6"/>
  <c r="J194" i="6"/>
  <c r="J216" i="6"/>
  <c r="J128" i="6"/>
  <c r="J158" i="6"/>
  <c r="J94" i="6"/>
  <c r="J208" i="6"/>
  <c r="J180" i="6"/>
  <c r="J83" i="6"/>
  <c r="J126" i="6"/>
  <c r="J161" i="6"/>
  <c r="J187" i="6"/>
  <c r="J186" i="6"/>
  <c r="J177" i="6"/>
  <c r="J184" i="6"/>
  <c r="J175" i="6"/>
  <c r="J111" i="6"/>
  <c r="J214" i="6"/>
  <c r="J86" i="6"/>
  <c r="J197" i="6"/>
  <c r="J133" i="6"/>
  <c r="J69" i="6"/>
  <c r="J176" i="6"/>
  <c r="J236" i="6"/>
  <c r="J172" i="6"/>
  <c r="J108" i="6"/>
  <c r="J42" i="6"/>
  <c r="J112" i="6"/>
  <c r="J173" i="6"/>
  <c r="J51" i="6"/>
  <c r="J147" i="6"/>
  <c r="J49" i="6"/>
  <c r="J169" i="6"/>
  <c r="J163" i="6"/>
  <c r="J162" i="6"/>
  <c r="J155" i="6"/>
  <c r="J154" i="6"/>
  <c r="J153" i="6"/>
  <c r="J168" i="6"/>
  <c r="J231" i="6"/>
  <c r="J167" i="6"/>
  <c r="J103" i="6"/>
  <c r="J39" i="6"/>
  <c r="J72" i="6"/>
  <c r="J206" i="6"/>
  <c r="J142" i="6"/>
  <c r="J78" i="6"/>
  <c r="J152" i="6"/>
  <c r="J189" i="6"/>
  <c r="J125" i="6"/>
  <c r="J61" i="6"/>
  <c r="J136" i="6"/>
  <c r="J228" i="6"/>
  <c r="J164" i="6"/>
  <c r="J100" i="6"/>
  <c r="J36" i="6"/>
  <c r="J67" i="6"/>
  <c r="J98" i="6"/>
  <c r="J34" i="6"/>
  <c r="J193" i="6"/>
  <c r="J123" i="6"/>
  <c r="J89" i="6"/>
  <c r="J248" i="6"/>
  <c r="J245" i="6"/>
  <c r="J148" i="6"/>
  <c r="J225" i="6"/>
  <c r="J202" i="6"/>
  <c r="J146" i="6"/>
  <c r="J145" i="6"/>
  <c r="J139" i="6"/>
  <c r="J137" i="6"/>
  <c r="J131" i="6"/>
  <c r="J130" i="6"/>
  <c r="J144" i="6"/>
  <c r="J223" i="6"/>
  <c r="J159" i="6"/>
  <c r="J95" i="6"/>
  <c r="J31" i="6"/>
  <c r="J48" i="6"/>
  <c r="J198" i="6"/>
  <c r="J134" i="6"/>
  <c r="J70" i="6"/>
  <c r="J104" i="6"/>
  <c r="J181" i="6"/>
  <c r="J117" i="6"/>
  <c r="J53" i="6"/>
  <c r="J120" i="6"/>
  <c r="J220" i="6"/>
  <c r="J156" i="6"/>
  <c r="J92" i="6"/>
  <c r="J28" i="6"/>
  <c r="J59" i="6"/>
  <c r="J90" i="6"/>
  <c r="J138" i="6"/>
  <c r="J105" i="6"/>
  <c r="J215" i="6"/>
  <c r="J24" i="6"/>
  <c r="J45" i="6"/>
  <c r="J82" i="6"/>
  <c r="F24" i="4"/>
  <c r="J200" i="6" l="1"/>
  <c r="J239" i="6"/>
  <c r="J179" i="6"/>
  <c r="J244" i="6"/>
  <c r="J222" i="6"/>
  <c r="J195" i="6"/>
  <c r="J190" i="6"/>
  <c r="J91" i="6"/>
  <c r="J213" i="6"/>
  <c r="J191" i="6"/>
  <c r="J233" i="6"/>
  <c r="J50" i="6"/>
  <c r="J32" i="6"/>
  <c r="J238" i="6"/>
  <c r="J241" i="6"/>
  <c r="J74" i="6"/>
  <c r="J101" i="6"/>
  <c r="J79" i="6"/>
  <c r="J65" i="6"/>
  <c r="J150" i="6"/>
  <c r="J171" i="6"/>
  <c r="J84" i="6"/>
  <c r="J77" i="6"/>
  <c r="J55" i="6"/>
  <c r="Q59" i="6" s="1"/>
  <c r="J203" i="6"/>
  <c r="J122" i="6"/>
  <c r="J124" i="6"/>
  <c r="J102" i="6"/>
  <c r="J240" i="6"/>
  <c r="J243" i="6"/>
  <c r="J66" i="6"/>
  <c r="J93" i="6"/>
  <c r="J71" i="6"/>
  <c r="J249" i="6"/>
  <c r="J107" i="6"/>
  <c r="J237" i="6"/>
  <c r="J207" i="6"/>
  <c r="J170" i="6"/>
  <c r="J141" i="6"/>
  <c r="J119" i="6"/>
  <c r="J209" i="6"/>
  <c r="J44" i="6"/>
  <c r="J188" i="6"/>
  <c r="J166" i="6"/>
  <c r="J217" i="6"/>
  <c r="J212" i="6"/>
  <c r="J35" i="6"/>
  <c r="J157" i="6"/>
  <c r="J135" i="6"/>
  <c r="J250" i="6"/>
  <c r="J76" i="6"/>
  <c r="J54" i="6"/>
  <c r="J80" i="6"/>
  <c r="J234" i="6"/>
  <c r="J96" i="6"/>
  <c r="J178" i="6"/>
  <c r="J97" i="6"/>
  <c r="J205" i="6"/>
  <c r="J183" i="6"/>
  <c r="J210" i="6"/>
  <c r="J114" i="6"/>
  <c r="J229" i="6"/>
  <c r="J230" i="6"/>
  <c r="J218" i="6"/>
  <c r="J62" i="6"/>
  <c r="J99" i="6"/>
  <c r="J221" i="6"/>
  <c r="J199" i="6"/>
  <c r="J251" i="6"/>
  <c r="J140" i="6"/>
  <c r="J118" i="6"/>
  <c r="J25" i="6"/>
  <c r="J26" i="6"/>
  <c r="J47" i="6"/>
  <c r="J185" i="6"/>
  <c r="J106" i="6"/>
  <c r="J30" i="6"/>
  <c r="J247" i="6"/>
  <c r="J81" i="6"/>
  <c r="J116" i="6"/>
  <c r="J232" i="6"/>
  <c r="J160" i="6"/>
  <c r="J219" i="6"/>
  <c r="J87" i="6"/>
  <c r="J68" i="6"/>
  <c r="J46" i="6"/>
  <c r="J64" i="6"/>
  <c r="J211" i="6"/>
  <c r="J204" i="6"/>
  <c r="J182" i="6"/>
  <c r="J33" i="6"/>
  <c r="M11" i="6"/>
  <c r="K12" i="6" s="1"/>
  <c r="L12" i="6" s="1"/>
  <c r="Q155" i="6"/>
  <c r="E15" i="6"/>
  <c r="I24" i="4"/>
  <c r="Q143" i="6" l="1"/>
  <c r="Q203" i="6"/>
  <c r="Q131" i="6"/>
  <c r="Q167" i="6"/>
  <c r="Q191" i="6"/>
  <c r="Q119" i="6"/>
  <c r="Q251" i="6"/>
  <c r="Q83" i="6"/>
  <c r="Q107" i="6"/>
  <c r="Q179" i="6"/>
  <c r="Q227" i="6"/>
  <c r="Q95" i="6"/>
  <c r="Q35" i="6"/>
  <c r="Q71" i="6"/>
  <c r="Q239" i="6"/>
  <c r="Q215" i="6"/>
  <c r="Q47" i="6"/>
  <c r="M12" i="6"/>
  <c r="K13" i="6" s="1"/>
  <c r="J13" i="6" s="1"/>
  <c r="I13" i="6" l="1"/>
  <c r="L13" i="6"/>
  <c r="M13" i="6" l="1"/>
  <c r="K14" i="6" s="1"/>
  <c r="J14" i="6" s="1"/>
  <c r="B4" i="8"/>
  <c r="I14" i="6" l="1"/>
  <c r="L14" i="6"/>
  <c r="M14" i="6" l="1"/>
  <c r="I15" i="6" l="1"/>
  <c r="K15" i="6"/>
  <c r="J15" i="6" s="1"/>
  <c r="L15" i="6" l="1"/>
  <c r="M15" i="6" s="1"/>
  <c r="K16" i="6" l="1"/>
  <c r="I16" i="6"/>
  <c r="J16" i="6" l="1"/>
  <c r="L16" i="6" l="1"/>
  <c r="M16" i="6" s="1"/>
  <c r="K17" i="6" l="1"/>
  <c r="I17" i="6"/>
  <c r="J17" i="6" l="1"/>
  <c r="L17" i="6" l="1"/>
  <c r="M17" i="6" s="1"/>
  <c r="I18" i="6" l="1"/>
  <c r="K18" i="6"/>
  <c r="J18" i="6" l="1"/>
  <c r="L18" i="6" l="1"/>
  <c r="M18" i="6" s="1"/>
  <c r="I19" i="6" l="1"/>
  <c r="K19" i="6"/>
  <c r="J19" i="6" s="1"/>
  <c r="L19" i="6" l="1"/>
  <c r="M19" i="6" s="1"/>
  <c r="K20" i="6" l="1"/>
  <c r="J20" i="6" s="1"/>
  <c r="I20" i="6"/>
  <c r="L20" i="6" l="1"/>
  <c r="M20" i="6" s="1"/>
  <c r="K21" i="6" l="1"/>
  <c r="J21" i="6" s="1"/>
  <c r="L21" i="6" s="1"/>
  <c r="I21" i="6"/>
  <c r="M21" i="6" l="1"/>
  <c r="K22" i="6" l="1"/>
  <c r="J22" i="6" s="1"/>
  <c r="I22" i="6"/>
  <c r="L22" i="6" l="1"/>
  <c r="M22" i="6" s="1"/>
  <c r="K23" i="6" l="1"/>
  <c r="J23" i="6" s="1"/>
  <c r="Q23" i="6" s="1"/>
  <c r="I23" i="6"/>
  <c r="L23" i="6" l="1"/>
  <c r="P23" i="6" s="1"/>
  <c r="E37" i="1" s="1"/>
  <c r="O23" i="6"/>
  <c r="E38" i="1" s="1"/>
  <c r="E39" i="1" l="1"/>
  <c r="E61" i="1" s="1"/>
  <c r="M23" i="6"/>
  <c r="E41" i="1" l="1"/>
  <c r="E44" i="1" s="1"/>
  <c r="N38" i="2"/>
  <c r="K24" i="6"/>
  <c r="I24" i="6"/>
  <c r="O15" i="5" l="1"/>
  <c r="N39" i="2"/>
  <c r="H7" i="2"/>
  <c r="O67" i="5"/>
  <c r="K15" i="5"/>
  <c r="K45" i="5"/>
  <c r="J34" i="5"/>
  <c r="F35" i="4"/>
  <c r="I35" i="4" s="1"/>
  <c r="I36" i="4" s="1"/>
  <c r="I9" i="4" s="1"/>
  <c r="M15" i="5"/>
  <c r="J15" i="5"/>
  <c r="M56" i="5"/>
  <c r="L24" i="6"/>
  <c r="M24" i="6" s="1"/>
  <c r="N40" i="2" l="1"/>
  <c r="F36" i="4"/>
  <c r="N16" i="2"/>
  <c r="I25" i="6"/>
  <c r="K25" i="6"/>
  <c r="N18" i="2" l="1"/>
  <c r="L25" i="6"/>
  <c r="M25" i="6" s="1"/>
  <c r="N41" i="2" l="1"/>
  <c r="E55" i="1" s="1"/>
  <c r="F7" i="4"/>
  <c r="H48" i="1"/>
  <c r="N48" i="1"/>
  <c r="E48" i="1"/>
  <c r="F24" i="7" s="1"/>
  <c r="E7" i="7"/>
  <c r="F7" i="7" s="1"/>
  <c r="G7" i="7" s="1"/>
  <c r="J31" i="5"/>
  <c r="E54" i="1"/>
  <c r="H6" i="2" s="1"/>
  <c r="M48" i="1"/>
  <c r="I48" i="1"/>
  <c r="M18" i="5" s="1"/>
  <c r="F48" i="1"/>
  <c r="L48" i="1"/>
  <c r="G48" i="1"/>
  <c r="K18" i="5" s="1"/>
  <c r="J48" i="1"/>
  <c r="D7" i="7"/>
  <c r="K48" i="1"/>
  <c r="O18" i="5" s="1"/>
  <c r="J46" i="1"/>
  <c r="N70" i="5" s="1"/>
  <c r="N71" i="5" s="1"/>
  <c r="I26" i="6"/>
  <c r="K26" i="6"/>
  <c r="M53" i="5" l="1"/>
  <c r="F46" i="1"/>
  <c r="K59" i="5" s="1"/>
  <c r="K60" i="5" s="1"/>
  <c r="G46" i="1"/>
  <c r="F8" i="7" s="1"/>
  <c r="M46" i="1"/>
  <c r="H46" i="1"/>
  <c r="M59" i="5" s="1"/>
  <c r="I46" i="1"/>
  <c r="M70" i="5" s="1"/>
  <c r="M71" i="5" s="1"/>
  <c r="I42" i="5"/>
  <c r="I53" i="5" s="1"/>
  <c r="K42" i="5"/>
  <c r="K46" i="1"/>
  <c r="O70" i="5" s="1"/>
  <c r="L46" i="1"/>
  <c r="E46" i="1"/>
  <c r="J59" i="5" s="1"/>
  <c r="J60" i="5" s="1"/>
  <c r="I31" i="5"/>
  <c r="N46" i="1"/>
  <c r="O64" i="5"/>
  <c r="I7" i="4"/>
  <c r="F21" i="4"/>
  <c r="J18" i="5"/>
  <c r="D11" i="7"/>
  <c r="G32" i="7"/>
  <c r="G24" i="7"/>
  <c r="F19" i="7"/>
  <c r="G31" i="7"/>
  <c r="G12" i="7"/>
  <c r="D12" i="7"/>
  <c r="F16" i="7"/>
  <c r="F10" i="7"/>
  <c r="F11" i="7"/>
  <c r="G10" i="7"/>
  <c r="G13" i="7"/>
  <c r="G29" i="7"/>
  <c r="D10" i="7"/>
  <c r="G25" i="7"/>
  <c r="F15" i="7"/>
  <c r="E13" i="7"/>
  <c r="F21" i="7"/>
  <c r="E14" i="7"/>
  <c r="G18" i="7"/>
  <c r="G17" i="7"/>
  <c r="E12" i="7"/>
  <c r="E11" i="7"/>
  <c r="G15" i="7"/>
  <c r="F17" i="7"/>
  <c r="F18" i="7"/>
  <c r="E15" i="7"/>
  <c r="G27" i="7"/>
  <c r="F22" i="7"/>
  <c r="G30" i="7"/>
  <c r="F12" i="7"/>
  <c r="F14" i="7"/>
  <c r="G20" i="7"/>
  <c r="G11" i="7"/>
  <c r="E16" i="7"/>
  <c r="E17" i="7"/>
  <c r="G23" i="7"/>
  <c r="G22" i="7"/>
  <c r="G26" i="7"/>
  <c r="F25" i="7"/>
  <c r="G14" i="7"/>
  <c r="G21" i="7"/>
  <c r="F23" i="7"/>
  <c r="G28" i="7"/>
  <c r="G16" i="7"/>
  <c r="F13" i="7"/>
  <c r="D13" i="7"/>
  <c r="E10" i="7"/>
  <c r="F20" i="7"/>
  <c r="G19" i="7"/>
  <c r="G33" i="7"/>
  <c r="L26" i="6"/>
  <c r="M26" i="6" s="1"/>
  <c r="J48" i="5"/>
  <c r="J49" i="5" s="1"/>
  <c r="L59" i="5"/>
  <c r="L60" i="5" s="1"/>
  <c r="G8" i="7"/>
  <c r="L70" i="5" l="1"/>
  <c r="L71" i="5" s="1"/>
  <c r="J70" i="5"/>
  <c r="J71" i="5" s="1"/>
  <c r="J37" i="5"/>
  <c r="E8" i="7"/>
  <c r="K48" i="5"/>
  <c r="K70" i="5"/>
  <c r="K71" i="5" s="1"/>
  <c r="F9" i="7"/>
  <c r="D8" i="7"/>
  <c r="E49" i="1"/>
  <c r="E51" i="1" s="1"/>
  <c r="E9" i="7"/>
  <c r="I48" i="5"/>
  <c r="I49" i="5" s="1"/>
  <c r="I50" i="5" s="1"/>
  <c r="J50" i="5" s="1"/>
  <c r="I59" i="5"/>
  <c r="I60" i="5" s="1"/>
  <c r="I61" i="5" s="1"/>
  <c r="J61" i="5" s="1"/>
  <c r="K61" i="5" s="1"/>
  <c r="L61" i="5" s="1"/>
  <c r="G9" i="7"/>
  <c r="D9" i="7"/>
  <c r="I37" i="5"/>
  <c r="I38" i="5" s="1"/>
  <c r="I39" i="5" s="1"/>
  <c r="I70" i="5"/>
  <c r="I5" i="4"/>
  <c r="K27" i="6"/>
  <c r="I27" i="6"/>
  <c r="I64" i="5"/>
  <c r="J21" i="5" l="1"/>
  <c r="O21" i="5"/>
  <c r="M21" i="5"/>
  <c r="K21" i="5"/>
  <c r="I71" i="5"/>
  <c r="I72" i="5" s="1"/>
  <c r="J72" i="5" s="1"/>
  <c r="K72" i="5" s="1"/>
  <c r="L72" i="5" s="1"/>
  <c r="M72" i="5" s="1"/>
  <c r="N72" i="5" s="1"/>
  <c r="L27" i="6"/>
  <c r="M27" i="6" s="1"/>
  <c r="K28" i="6" l="1"/>
  <c r="I28" i="6"/>
  <c r="L28" i="6" l="1"/>
  <c r="M28" i="6" s="1"/>
  <c r="K29" i="6" l="1"/>
  <c r="L29" i="6" s="1"/>
  <c r="I29" i="6"/>
  <c r="M29" i="6" l="1"/>
  <c r="I30" i="6" s="1"/>
  <c r="K30" i="6" l="1"/>
  <c r="L30" i="6" s="1"/>
  <c r="M30" i="6" s="1"/>
  <c r="I31" i="6" l="1"/>
  <c r="K31" i="6"/>
  <c r="L31" i="6" s="1"/>
  <c r="M31" i="6" l="1"/>
  <c r="K32" i="6" l="1"/>
  <c r="L32" i="6" s="1"/>
  <c r="I32" i="6"/>
  <c r="M32" i="6" l="1"/>
  <c r="I33" i="6" s="1"/>
  <c r="K33" i="6" l="1"/>
  <c r="L33" i="6" s="1"/>
  <c r="M33" i="6" s="1"/>
  <c r="I34" i="6" l="1"/>
  <c r="K34" i="6"/>
  <c r="L34" i="6" s="1"/>
  <c r="M34" i="6" l="1"/>
  <c r="K35" i="6" l="1"/>
  <c r="I35" i="6"/>
  <c r="L35" i="6" l="1"/>
  <c r="P35" i="6" s="1"/>
  <c r="F37" i="1" s="1"/>
  <c r="O35" i="6"/>
  <c r="F38" i="1" s="1"/>
  <c r="F39" i="1" l="1"/>
  <c r="M35" i="6"/>
  <c r="J16" i="5" l="1"/>
  <c r="J33" i="5"/>
  <c r="I36" i="6"/>
  <c r="K36" i="6"/>
  <c r="L36" i="6" l="1"/>
  <c r="M36" i="6" s="1"/>
  <c r="K37" i="6" l="1"/>
  <c r="I37" i="6"/>
  <c r="L37" i="6" l="1"/>
  <c r="M37" i="6" s="1"/>
  <c r="I38" i="6" l="1"/>
  <c r="K38" i="6"/>
  <c r="L38" i="6" l="1"/>
  <c r="M38" i="6" s="1"/>
  <c r="K39" i="6" l="1"/>
  <c r="I39" i="6"/>
  <c r="L39" i="6" l="1"/>
  <c r="M39" i="6" s="1"/>
  <c r="K40" i="6" l="1"/>
  <c r="I40" i="6"/>
  <c r="L40" i="6" l="1"/>
  <c r="M40" i="6" s="1"/>
  <c r="K41" i="6" l="1"/>
  <c r="L41" i="6" s="1"/>
  <c r="I41" i="6"/>
  <c r="M41" i="6" l="1"/>
  <c r="I42" i="6" s="1"/>
  <c r="K42" i="6" l="1"/>
  <c r="L42" i="6" s="1"/>
  <c r="M42" i="6" s="1"/>
  <c r="K43" i="6" l="1"/>
  <c r="L43" i="6" s="1"/>
  <c r="I43" i="6"/>
  <c r="M43" i="6" l="1"/>
  <c r="I44" i="6" s="1"/>
  <c r="K44" i="6" l="1"/>
  <c r="L44" i="6" s="1"/>
  <c r="M44" i="6" s="1"/>
  <c r="K45" i="6" s="1"/>
  <c r="L45" i="6" s="1"/>
  <c r="I45" i="6" l="1"/>
  <c r="M45" i="6" s="1"/>
  <c r="K46" i="6" s="1"/>
  <c r="L46" i="6" s="1"/>
  <c r="I46" i="6" l="1"/>
  <c r="M46" i="6" s="1"/>
  <c r="K47" i="6" s="1"/>
  <c r="I47" i="6" l="1"/>
  <c r="L47" i="6"/>
  <c r="P47" i="6" s="1"/>
  <c r="G37" i="1" s="1"/>
  <c r="O47" i="6"/>
  <c r="G38" i="1" s="1"/>
  <c r="G39" i="1" l="1"/>
  <c r="M47" i="6"/>
  <c r="K44" i="5" l="1"/>
  <c r="K16" i="5"/>
  <c r="K48" i="6"/>
  <c r="I48" i="6"/>
  <c r="L48" i="6" l="1"/>
  <c r="M48" i="6" s="1"/>
  <c r="K49" i="6" l="1"/>
  <c r="I49" i="6"/>
  <c r="L49" i="6" l="1"/>
  <c r="M49" i="6" s="1"/>
  <c r="I50" i="6" l="1"/>
  <c r="K50" i="6"/>
  <c r="L50" i="6" l="1"/>
  <c r="M50" i="6" s="1"/>
  <c r="K51" i="6" l="1"/>
  <c r="I51" i="6"/>
  <c r="L51" i="6" l="1"/>
  <c r="M51" i="6" s="1"/>
  <c r="K52" i="6" l="1"/>
  <c r="I52" i="6"/>
  <c r="L52" i="6" l="1"/>
  <c r="M52" i="6" s="1"/>
  <c r="I53" i="6" l="1"/>
  <c r="K53" i="6"/>
  <c r="L53" i="6" s="1"/>
  <c r="M53" i="6" l="1"/>
  <c r="K54" i="6" l="1"/>
  <c r="L54" i="6" s="1"/>
  <c r="I54" i="6"/>
  <c r="M54" i="6" l="1"/>
  <c r="I55" i="6" s="1"/>
  <c r="K55" i="6" l="1"/>
  <c r="L55" i="6" s="1"/>
  <c r="M55" i="6" s="1"/>
  <c r="I56" i="6" l="1"/>
  <c r="K56" i="6"/>
  <c r="L56" i="6" s="1"/>
  <c r="M56" i="6" l="1"/>
  <c r="K57" i="6" l="1"/>
  <c r="L57" i="6" s="1"/>
  <c r="I57" i="6"/>
  <c r="M57" i="6" l="1"/>
  <c r="K58" i="6" s="1"/>
  <c r="L58" i="6" s="1"/>
  <c r="I58" i="6" l="1"/>
  <c r="M58" i="6" s="1"/>
  <c r="K59" i="6" s="1"/>
  <c r="I59" i="6" l="1"/>
  <c r="L59" i="6"/>
  <c r="P59" i="6" s="1"/>
  <c r="H37" i="1" s="1"/>
  <c r="O59" i="6"/>
  <c r="H38" i="1" s="1"/>
  <c r="H39" i="1" l="1"/>
  <c r="M59" i="6"/>
  <c r="K60" i="6" l="1"/>
  <c r="I60" i="6"/>
  <c r="L60" i="6" l="1"/>
  <c r="M60" i="6" s="1"/>
  <c r="I61" i="6" l="1"/>
  <c r="K61" i="6"/>
  <c r="L61" i="6" l="1"/>
  <c r="M61" i="6" s="1"/>
  <c r="K62" i="6" l="1"/>
  <c r="I62" i="6"/>
  <c r="L62" i="6" l="1"/>
  <c r="M62" i="6" s="1"/>
  <c r="K63" i="6" l="1"/>
  <c r="I63" i="6"/>
  <c r="L63" i="6" l="1"/>
  <c r="M63" i="6" s="1"/>
  <c r="K64" i="6" l="1"/>
  <c r="I64" i="6"/>
  <c r="L64" i="6" l="1"/>
  <c r="M64" i="6" s="1"/>
  <c r="K65" i="6" l="1"/>
  <c r="L65" i="6" s="1"/>
  <c r="I65" i="6"/>
  <c r="M65" i="6" l="1"/>
  <c r="K66" i="6" l="1"/>
  <c r="L66" i="6" s="1"/>
  <c r="I66" i="6"/>
  <c r="M66" i="6" l="1"/>
  <c r="I67" i="6" s="1"/>
  <c r="K67" i="6" l="1"/>
  <c r="L67" i="6" s="1"/>
  <c r="M67" i="6" s="1"/>
  <c r="K68" i="6" l="1"/>
  <c r="L68" i="6" s="1"/>
  <c r="I68" i="6"/>
  <c r="M68" i="6" l="1"/>
  <c r="K69" i="6" s="1"/>
  <c r="L69" i="6" s="1"/>
  <c r="I69" i="6" l="1"/>
  <c r="M69" i="6" s="1"/>
  <c r="I70" i="6" s="1"/>
  <c r="K70" i="6" l="1"/>
  <c r="L70" i="6" s="1"/>
  <c r="M70" i="6" s="1"/>
  <c r="I71" i="6" l="1"/>
  <c r="K71" i="6"/>
  <c r="L71" i="6" l="1"/>
  <c r="P71" i="6" s="1"/>
  <c r="I37" i="1" s="1"/>
  <c r="O71" i="6"/>
  <c r="I38" i="1" s="1"/>
  <c r="M71" i="6" l="1"/>
  <c r="M55" i="5" s="1"/>
  <c r="I39" i="1"/>
  <c r="K72" i="6" l="1"/>
  <c r="L72" i="6" s="1"/>
  <c r="I72" i="6"/>
  <c r="M16" i="5"/>
  <c r="M72" i="6" l="1"/>
  <c r="I73" i="6" s="1"/>
  <c r="K73" i="6" l="1"/>
  <c r="L73" i="6" s="1"/>
  <c r="M73" i="6" s="1"/>
  <c r="K74" i="6" l="1"/>
  <c r="I74" i="6"/>
  <c r="L74" i="6" l="1"/>
  <c r="M74" i="6" s="1"/>
  <c r="K75" i="6" l="1"/>
  <c r="I75" i="6"/>
  <c r="L75" i="6" l="1"/>
  <c r="M75" i="6" s="1"/>
  <c r="K76" i="6" l="1"/>
  <c r="I76" i="6"/>
  <c r="L76" i="6" l="1"/>
  <c r="M76" i="6" s="1"/>
  <c r="K77" i="6" l="1"/>
  <c r="L77" i="6" s="1"/>
  <c r="I77" i="6"/>
  <c r="M77" i="6" l="1"/>
  <c r="I78" i="6" s="1"/>
  <c r="K78" i="6" l="1"/>
  <c r="L78" i="6" s="1"/>
  <c r="M78" i="6" s="1"/>
  <c r="I79" i="6" l="1"/>
  <c r="K79" i="6"/>
  <c r="L79" i="6" s="1"/>
  <c r="M79" i="6" l="1"/>
  <c r="K80" i="6" l="1"/>
  <c r="L80" i="6" s="1"/>
  <c r="I80" i="6"/>
  <c r="M80" i="6" l="1"/>
  <c r="I81" i="6" s="1"/>
  <c r="K81" i="6" l="1"/>
  <c r="L81" i="6" s="1"/>
  <c r="M81" i="6" s="1"/>
  <c r="K82" i="6" l="1"/>
  <c r="L82" i="6" s="1"/>
  <c r="I82" i="6"/>
  <c r="M82" i="6" l="1"/>
  <c r="I83" i="6" l="1"/>
  <c r="K83" i="6"/>
  <c r="L83" i="6" l="1"/>
  <c r="P83" i="6" s="1"/>
  <c r="J37" i="1" s="1"/>
  <c r="O83" i="6"/>
  <c r="J38" i="1" s="1"/>
  <c r="M83" i="6" l="1"/>
  <c r="K84" i="6" s="1"/>
  <c r="J39" i="1"/>
  <c r="I84" i="6" l="1"/>
  <c r="L84" i="6"/>
  <c r="M84" i="6" l="1"/>
  <c r="I85" i="6" s="1"/>
  <c r="K85" i="6" l="1"/>
  <c r="L85" i="6" s="1"/>
  <c r="M85" i="6" s="1"/>
  <c r="K86" i="6" l="1"/>
  <c r="I86" i="6"/>
  <c r="L86" i="6" l="1"/>
  <c r="M86" i="6" s="1"/>
  <c r="K87" i="6" l="1"/>
  <c r="I87" i="6"/>
  <c r="L87" i="6" l="1"/>
  <c r="M87" i="6" s="1"/>
  <c r="K88" i="6" l="1"/>
  <c r="I88" i="6"/>
  <c r="L88" i="6" l="1"/>
  <c r="M88" i="6" s="1"/>
  <c r="K89" i="6" l="1"/>
  <c r="L89" i="6" s="1"/>
  <c r="I89" i="6"/>
  <c r="M89" i="6" l="1"/>
  <c r="K90" i="6" s="1"/>
  <c r="L90" i="6" s="1"/>
  <c r="I90" i="6" l="1"/>
  <c r="M90" i="6" s="1"/>
  <c r="K91" i="6" s="1"/>
  <c r="L91" i="6" s="1"/>
  <c r="I91" i="6" l="1"/>
  <c r="M91" i="6" s="1"/>
  <c r="I92" i="6" s="1"/>
  <c r="K92" i="6" l="1"/>
  <c r="L92" i="6" s="1"/>
  <c r="M92" i="6" s="1"/>
  <c r="K93" i="6" l="1"/>
  <c r="L93" i="6" s="1"/>
  <c r="I93" i="6"/>
  <c r="M93" i="6" l="1"/>
  <c r="I94" i="6" s="1"/>
  <c r="K94" i="6" l="1"/>
  <c r="L94" i="6" s="1"/>
  <c r="M94" i="6" s="1"/>
  <c r="K95" i="6" l="1"/>
  <c r="I95" i="6"/>
  <c r="L95" i="6" l="1"/>
  <c r="P95" i="6" s="1"/>
  <c r="K37" i="1" s="1"/>
  <c r="O95" i="6"/>
  <c r="K38" i="1" s="1"/>
  <c r="K39" i="1" l="1"/>
  <c r="M95" i="6"/>
  <c r="O66" i="5" l="1"/>
  <c r="O16" i="5"/>
  <c r="K96" i="6"/>
  <c r="I96" i="6"/>
  <c r="L96" i="6" l="1"/>
  <c r="M96" i="6" s="1"/>
  <c r="I97" i="6" l="1"/>
  <c r="K97" i="6"/>
  <c r="L97" i="6" l="1"/>
  <c r="M97" i="6" s="1"/>
  <c r="K98" i="6" l="1"/>
  <c r="I98" i="6"/>
  <c r="L98" i="6" l="1"/>
  <c r="M98" i="6" s="1"/>
  <c r="I99" i="6" l="1"/>
  <c r="K99" i="6"/>
  <c r="L99" i="6" l="1"/>
  <c r="M99" i="6" s="1"/>
  <c r="K100" i="6" l="1"/>
  <c r="I100" i="6"/>
  <c r="L100" i="6" l="1"/>
  <c r="M100" i="6" s="1"/>
  <c r="I101" i="6" l="1"/>
  <c r="K101" i="6"/>
  <c r="L101" i="6" s="1"/>
  <c r="M101" i="6" l="1"/>
  <c r="K102" i="6" l="1"/>
  <c r="L102" i="6" s="1"/>
  <c r="I102" i="6"/>
  <c r="M102" i="6" l="1"/>
  <c r="I103" i="6" s="1"/>
  <c r="K103" i="6" l="1"/>
  <c r="L103" i="6" s="1"/>
  <c r="M103" i="6" s="1"/>
  <c r="I104" i="6" l="1"/>
  <c r="K104" i="6"/>
  <c r="L104" i="6" s="1"/>
  <c r="M104" i="6" l="1"/>
  <c r="K105" i="6" l="1"/>
  <c r="L105" i="6" s="1"/>
  <c r="I105" i="6"/>
  <c r="M105" i="6" l="1"/>
  <c r="K106" i="6" s="1"/>
  <c r="L106" i="6" s="1"/>
  <c r="I106" i="6" l="1"/>
  <c r="M106" i="6" s="1"/>
  <c r="I107" i="6" s="1"/>
  <c r="K107" i="6" l="1"/>
  <c r="L107" i="6" s="1"/>
  <c r="O107" i="6" l="1"/>
  <c r="L38" i="1" s="1"/>
  <c r="P107" i="6"/>
  <c r="L37" i="1" s="1"/>
  <c r="M107" i="6"/>
  <c r="K108" i="6" s="1"/>
  <c r="L39" i="1" l="1"/>
  <c r="I108" i="6"/>
  <c r="L108" i="6"/>
  <c r="M108" i="6" l="1"/>
  <c r="I109" i="6" s="1"/>
  <c r="K109" i="6" l="1"/>
  <c r="L109" i="6" s="1"/>
  <c r="M109" i="6" s="1"/>
  <c r="I110" i="6" l="1"/>
  <c r="K110" i="6"/>
  <c r="L110" i="6" l="1"/>
  <c r="M110" i="6" s="1"/>
  <c r="I111" i="6" l="1"/>
  <c r="K111" i="6"/>
  <c r="L111" i="6" l="1"/>
  <c r="M111" i="6" s="1"/>
  <c r="I112" i="6" l="1"/>
  <c r="K112" i="6"/>
  <c r="L112" i="6" l="1"/>
  <c r="M112" i="6" s="1"/>
  <c r="K113" i="6" l="1"/>
  <c r="L113" i="6" s="1"/>
  <c r="I113" i="6"/>
  <c r="M113" i="6" l="1"/>
  <c r="K114" i="6" s="1"/>
  <c r="L114" i="6" s="1"/>
  <c r="I114" i="6" l="1"/>
  <c r="M114" i="6" s="1"/>
  <c r="I115" i="6" l="1"/>
  <c r="K115" i="6"/>
  <c r="L115" i="6" s="1"/>
  <c r="M115" i="6" l="1"/>
  <c r="K116" i="6" s="1"/>
  <c r="L116" i="6" s="1"/>
  <c r="I116" i="6" l="1"/>
  <c r="M116" i="6" s="1"/>
  <c r="K117" i="6" s="1"/>
  <c r="L117" i="6" s="1"/>
  <c r="I117" i="6" l="1"/>
  <c r="M117" i="6" s="1"/>
  <c r="K118" i="6" l="1"/>
  <c r="L118" i="6" s="1"/>
  <c r="I118" i="6"/>
  <c r="M118" i="6" l="1"/>
  <c r="I119" i="6" s="1"/>
  <c r="K119" i="6" l="1"/>
  <c r="L119" i="6" s="1"/>
  <c r="P119" i="6" s="1"/>
  <c r="M37" i="1" s="1"/>
  <c r="O119" i="6" l="1"/>
  <c r="M38" i="1" s="1"/>
  <c r="M39" i="1" s="1"/>
  <c r="M119" i="6"/>
  <c r="I120" i="6" s="1"/>
  <c r="K120" i="6" l="1"/>
  <c r="L120" i="6" s="1"/>
  <c r="M120" i="6" s="1"/>
  <c r="I121" i="6" l="1"/>
  <c r="K121" i="6"/>
  <c r="L121" i="6" l="1"/>
  <c r="M121" i="6" s="1"/>
  <c r="K122" i="6" l="1"/>
  <c r="I122" i="6"/>
  <c r="L122" i="6" l="1"/>
  <c r="M122" i="6" s="1"/>
  <c r="K123" i="6" l="1"/>
  <c r="I123" i="6"/>
  <c r="L123" i="6" l="1"/>
  <c r="M123" i="6" s="1"/>
  <c r="I124" i="6" l="1"/>
  <c r="K124" i="6"/>
  <c r="L124" i="6" l="1"/>
  <c r="M124" i="6" s="1"/>
  <c r="I125" i="6" l="1"/>
  <c r="K125" i="6"/>
  <c r="L125" i="6" s="1"/>
  <c r="M125" i="6" l="1"/>
  <c r="K126" i="6" l="1"/>
  <c r="L126" i="6" s="1"/>
  <c r="I126" i="6"/>
  <c r="M126" i="6" l="1"/>
  <c r="K127" i="6" s="1"/>
  <c r="L127" i="6" s="1"/>
  <c r="I127" i="6" l="1"/>
  <c r="M127" i="6" s="1"/>
  <c r="I128" i="6" s="1"/>
  <c r="K128" i="6" l="1"/>
  <c r="L128" i="6" s="1"/>
  <c r="M128" i="6" s="1"/>
  <c r="K129" i="6" s="1"/>
  <c r="L129" i="6" s="1"/>
  <c r="I129" i="6" l="1"/>
  <c r="M129" i="6" s="1"/>
  <c r="K130" i="6" l="1"/>
  <c r="L130" i="6" s="1"/>
  <c r="I130" i="6"/>
  <c r="M130" i="6" l="1"/>
  <c r="I131" i="6" s="1"/>
  <c r="K131" i="6" l="1"/>
  <c r="L131" i="6" s="1"/>
  <c r="P131" i="6" l="1"/>
  <c r="N37" i="1" s="1"/>
  <c r="M131" i="6"/>
  <c r="K132" i="6" s="1"/>
  <c r="O131" i="6"/>
  <c r="N38" i="1" s="1"/>
  <c r="I132" i="6" l="1"/>
  <c r="N39" i="1"/>
  <c r="L132" i="6"/>
  <c r="M132" i="6" l="1"/>
  <c r="K133" i="6" s="1"/>
  <c r="I133" i="6" l="1"/>
  <c r="L133" i="6"/>
  <c r="M133" i="6" l="1"/>
  <c r="I134" i="6" s="1"/>
  <c r="K134" i="6" l="1"/>
  <c r="L134" i="6" s="1"/>
  <c r="M134" i="6" s="1"/>
  <c r="I135" i="6" l="1"/>
  <c r="K135" i="6"/>
  <c r="L135" i="6" l="1"/>
  <c r="M135" i="6" s="1"/>
  <c r="I136" i="6" l="1"/>
  <c r="K136" i="6"/>
  <c r="L136" i="6" l="1"/>
  <c r="M136" i="6" s="1"/>
  <c r="I137" i="6" l="1"/>
  <c r="K137" i="6"/>
  <c r="L137" i="6" s="1"/>
  <c r="M137" i="6" l="1"/>
  <c r="K138" i="6" l="1"/>
  <c r="L138" i="6" s="1"/>
  <c r="I138" i="6"/>
  <c r="M138" i="6" l="1"/>
  <c r="K139" i="6" s="1"/>
  <c r="L139" i="6" s="1"/>
  <c r="I139" i="6" l="1"/>
  <c r="M139" i="6" s="1"/>
  <c r="I140" i="6" l="1"/>
  <c r="K140" i="6"/>
  <c r="L140" i="6" s="1"/>
  <c r="M140" i="6" l="1"/>
  <c r="K141" i="6" s="1"/>
  <c r="L141" i="6" s="1"/>
  <c r="I141" i="6" l="1"/>
  <c r="M141" i="6" s="1"/>
  <c r="I142" i="6" s="1"/>
  <c r="K142" i="6" l="1"/>
  <c r="L142" i="6" s="1"/>
  <c r="M142" i="6" s="1"/>
  <c r="K143" i="6" l="1"/>
  <c r="I143" i="6"/>
  <c r="L143" i="6" l="1"/>
  <c r="P143" i="6" s="1"/>
  <c r="O143" i="6"/>
  <c r="M143" i="6" l="1"/>
  <c r="K144" i="6" l="1"/>
  <c r="I144" i="6"/>
  <c r="L144" i="6" l="1"/>
  <c r="M144" i="6" s="1"/>
  <c r="K145" i="6" l="1"/>
  <c r="I145" i="6"/>
  <c r="L145" i="6" l="1"/>
  <c r="M145" i="6" s="1"/>
  <c r="I146" i="6" l="1"/>
  <c r="K146" i="6"/>
  <c r="L146" i="6" l="1"/>
  <c r="M146" i="6" s="1"/>
  <c r="K147" i="6" l="1"/>
  <c r="I147" i="6"/>
  <c r="L147" i="6" l="1"/>
  <c r="M147" i="6" s="1"/>
  <c r="K148" i="6" l="1"/>
  <c r="I148" i="6"/>
  <c r="L148" i="6" l="1"/>
  <c r="M148" i="6" s="1"/>
  <c r="I149" i="6" l="1"/>
  <c r="K149" i="6"/>
  <c r="L149" i="6" s="1"/>
  <c r="M149" i="6" l="1"/>
  <c r="I150" i="6" l="1"/>
  <c r="K150" i="6"/>
  <c r="L150" i="6" s="1"/>
  <c r="M150" i="6" l="1"/>
  <c r="I151" i="6" l="1"/>
  <c r="K151" i="6"/>
  <c r="L151" i="6" s="1"/>
  <c r="M151" i="6" l="1"/>
  <c r="K152" i="6" l="1"/>
  <c r="L152" i="6" s="1"/>
  <c r="I152" i="6"/>
  <c r="M152" i="6" l="1"/>
  <c r="K153" i="6" s="1"/>
  <c r="L153" i="6" s="1"/>
  <c r="I153" i="6" l="1"/>
  <c r="M153" i="6" s="1"/>
  <c r="I154" i="6" s="1"/>
  <c r="K154" i="6" l="1"/>
  <c r="L154" i="6" s="1"/>
  <c r="M154" i="6" s="1"/>
  <c r="I155" i="6" s="1"/>
  <c r="K155" i="6" l="1"/>
  <c r="L155" i="6" s="1"/>
  <c r="O155" i="6" l="1"/>
  <c r="P155" i="6"/>
  <c r="M155" i="6"/>
  <c r="I156" i="6" s="1"/>
  <c r="K156" i="6" l="1"/>
  <c r="L156" i="6" s="1"/>
  <c r="M156" i="6" s="1"/>
  <c r="I157" i="6" l="1"/>
  <c r="K157" i="6"/>
  <c r="L157" i="6" l="1"/>
  <c r="M157" i="6" s="1"/>
  <c r="I158" i="6" l="1"/>
  <c r="K158" i="6"/>
  <c r="L158" i="6" l="1"/>
  <c r="M158" i="6" s="1"/>
  <c r="I159" i="6" l="1"/>
  <c r="K159" i="6"/>
  <c r="L159" i="6" l="1"/>
  <c r="M159" i="6" s="1"/>
  <c r="I160" i="6" l="1"/>
  <c r="K160" i="6"/>
  <c r="L160" i="6" l="1"/>
  <c r="M160" i="6" s="1"/>
  <c r="K161" i="6" l="1"/>
  <c r="L161" i="6" s="1"/>
  <c r="I161" i="6"/>
  <c r="M161" i="6" l="1"/>
  <c r="I162" i="6" s="1"/>
  <c r="K162" i="6" l="1"/>
  <c r="L162" i="6" s="1"/>
  <c r="M162" i="6" s="1"/>
  <c r="K163" i="6" l="1"/>
  <c r="L163" i="6" s="1"/>
  <c r="I163" i="6"/>
  <c r="M163" i="6" l="1"/>
  <c r="K164" i="6" s="1"/>
  <c r="L164" i="6" s="1"/>
  <c r="I164" i="6" l="1"/>
  <c r="M164" i="6" s="1"/>
  <c r="K165" i="6" l="1"/>
  <c r="L165" i="6" s="1"/>
  <c r="I165" i="6"/>
  <c r="M165" i="6" l="1"/>
  <c r="K166" i="6" s="1"/>
  <c r="L166" i="6" s="1"/>
  <c r="I166" i="6" l="1"/>
  <c r="M166" i="6" s="1"/>
  <c r="I167" i="6" l="1"/>
  <c r="K167" i="6"/>
  <c r="L167" i="6" l="1"/>
  <c r="P167" i="6" s="1"/>
  <c r="O167" i="6"/>
  <c r="M167" i="6" l="1"/>
  <c r="I168" i="6" s="1"/>
  <c r="K168" i="6" l="1"/>
  <c r="L168" i="6" s="1"/>
  <c r="M168" i="6" s="1"/>
  <c r="K169" i="6" l="1"/>
  <c r="I169" i="6"/>
  <c r="L169" i="6" l="1"/>
  <c r="M169" i="6" s="1"/>
  <c r="K170" i="6" l="1"/>
  <c r="I170" i="6"/>
  <c r="L170" i="6" l="1"/>
  <c r="M170" i="6" s="1"/>
  <c r="K171" i="6" l="1"/>
  <c r="I171" i="6"/>
  <c r="L171" i="6" l="1"/>
  <c r="M171" i="6" s="1"/>
  <c r="I172" i="6" l="1"/>
  <c r="K172" i="6"/>
  <c r="L172" i="6" l="1"/>
  <c r="M172" i="6" s="1"/>
  <c r="K173" i="6" l="1"/>
  <c r="L173" i="6" s="1"/>
  <c r="I173" i="6"/>
  <c r="M173" i="6" l="1"/>
  <c r="K174" i="6" s="1"/>
  <c r="L174" i="6" s="1"/>
  <c r="I174" i="6" l="1"/>
  <c r="M174" i="6" s="1"/>
  <c r="K175" i="6" l="1"/>
  <c r="L175" i="6" s="1"/>
  <c r="I175" i="6"/>
  <c r="M175" i="6" l="1"/>
  <c r="K176" i="6" s="1"/>
  <c r="L176" i="6" s="1"/>
  <c r="I176" i="6" l="1"/>
  <c r="M176" i="6" s="1"/>
  <c r="I177" i="6" l="1"/>
  <c r="K177" i="6"/>
  <c r="L177" i="6" s="1"/>
  <c r="M177" i="6" l="1"/>
  <c r="K178" i="6" l="1"/>
  <c r="L178" i="6" s="1"/>
  <c r="I178" i="6"/>
  <c r="M178" i="6" l="1"/>
  <c r="K179" i="6" s="1"/>
  <c r="I179" i="6" l="1"/>
  <c r="L179" i="6"/>
  <c r="P179" i="6" s="1"/>
  <c r="O179" i="6"/>
  <c r="M179" i="6" l="1"/>
  <c r="K180" i="6" l="1"/>
  <c r="I180" i="6"/>
  <c r="L180" i="6" l="1"/>
  <c r="M180" i="6" s="1"/>
  <c r="I181" i="6" l="1"/>
  <c r="K181" i="6"/>
  <c r="L181" i="6" l="1"/>
  <c r="M181" i="6" s="1"/>
  <c r="K182" i="6" l="1"/>
  <c r="I182" i="6"/>
  <c r="L182" i="6" l="1"/>
  <c r="M182" i="6" s="1"/>
  <c r="I183" i="6" l="1"/>
  <c r="K183" i="6"/>
  <c r="L183" i="6" l="1"/>
  <c r="M183" i="6" s="1"/>
  <c r="K184" i="6" l="1"/>
  <c r="I184" i="6"/>
  <c r="L184" i="6" l="1"/>
  <c r="M184" i="6" s="1"/>
  <c r="K185" i="6" l="1"/>
  <c r="L185" i="6" s="1"/>
  <c r="I185" i="6"/>
  <c r="M185" i="6" l="1"/>
  <c r="I186" i="6" s="1"/>
  <c r="K186" i="6" l="1"/>
  <c r="L186" i="6" s="1"/>
  <c r="M186" i="6" s="1"/>
  <c r="K187" i="6" l="1"/>
  <c r="L187" i="6" s="1"/>
  <c r="I187" i="6"/>
  <c r="M187" i="6" l="1"/>
  <c r="I188" i="6" s="1"/>
  <c r="K188" i="6" l="1"/>
  <c r="L188" i="6" s="1"/>
  <c r="M188" i="6" s="1"/>
  <c r="K189" i="6" l="1"/>
  <c r="L189" i="6" s="1"/>
  <c r="I189" i="6"/>
  <c r="M189" i="6" l="1"/>
  <c r="I190" i="6" s="1"/>
  <c r="K190" i="6" l="1"/>
  <c r="L190" i="6" s="1"/>
  <c r="M190" i="6" s="1"/>
  <c r="I191" i="6" l="1"/>
  <c r="K191" i="6"/>
  <c r="L191" i="6" l="1"/>
  <c r="P191" i="6" s="1"/>
  <c r="O191" i="6"/>
  <c r="M191" i="6" l="1"/>
  <c r="I192" i="6" s="1"/>
  <c r="K192" i="6" l="1"/>
  <c r="L192" i="6" s="1"/>
  <c r="M192" i="6" s="1"/>
  <c r="I193" i="6" l="1"/>
  <c r="K193" i="6"/>
  <c r="L193" i="6" l="1"/>
  <c r="M193" i="6" s="1"/>
  <c r="I194" i="6" l="1"/>
  <c r="K194" i="6"/>
  <c r="L194" i="6" l="1"/>
  <c r="M194" i="6" s="1"/>
  <c r="K195" i="6" l="1"/>
  <c r="I195" i="6"/>
  <c r="L195" i="6" l="1"/>
  <c r="M195" i="6" s="1"/>
  <c r="I196" i="6" l="1"/>
  <c r="K196" i="6"/>
  <c r="L196" i="6" l="1"/>
  <c r="M196" i="6" s="1"/>
  <c r="I197" i="6" l="1"/>
  <c r="K197" i="6"/>
  <c r="L197" i="6" s="1"/>
  <c r="M197" i="6" l="1"/>
  <c r="K198" i="6" l="1"/>
  <c r="L198" i="6" s="1"/>
  <c r="I198" i="6"/>
  <c r="M198" i="6" l="1"/>
  <c r="I199" i="6" s="1"/>
  <c r="K199" i="6" l="1"/>
  <c r="L199" i="6" s="1"/>
  <c r="M199" i="6" s="1"/>
  <c r="I200" i="6" l="1"/>
  <c r="K200" i="6"/>
  <c r="L200" i="6" s="1"/>
  <c r="M200" i="6" l="1"/>
  <c r="I201" i="6" s="1"/>
  <c r="K201" i="6" l="1"/>
  <c r="L201" i="6" s="1"/>
  <c r="M201" i="6" s="1"/>
  <c r="I202" i="6" l="1"/>
  <c r="K202" i="6"/>
  <c r="L202" i="6" s="1"/>
  <c r="M202" i="6" l="1"/>
  <c r="I203" i="6" l="1"/>
  <c r="K203" i="6"/>
  <c r="L203" i="6" l="1"/>
  <c r="P203" i="6" s="1"/>
  <c r="O203" i="6"/>
  <c r="M203" i="6" l="1"/>
  <c r="I204" i="6" s="1"/>
  <c r="K204" i="6" l="1"/>
  <c r="L204" i="6" s="1"/>
  <c r="M204" i="6" s="1"/>
  <c r="I205" i="6" l="1"/>
  <c r="K205" i="6"/>
  <c r="L205" i="6" l="1"/>
  <c r="M205" i="6" s="1"/>
  <c r="I206" i="6" l="1"/>
  <c r="K206" i="6"/>
  <c r="L206" i="6" l="1"/>
  <c r="M206" i="6" s="1"/>
  <c r="I207" i="6" l="1"/>
  <c r="K207" i="6"/>
  <c r="L207" i="6" l="1"/>
  <c r="M207" i="6" s="1"/>
  <c r="I208" i="6" l="1"/>
  <c r="K208" i="6"/>
  <c r="L208" i="6" l="1"/>
  <c r="M208" i="6" s="1"/>
  <c r="I209" i="6" l="1"/>
  <c r="K209" i="6"/>
  <c r="L209" i="6" s="1"/>
  <c r="M209" i="6" l="1"/>
  <c r="K210" i="6" l="1"/>
  <c r="L210" i="6" s="1"/>
  <c r="I210" i="6"/>
  <c r="M210" i="6" l="1"/>
  <c r="K211" i="6" s="1"/>
  <c r="L211" i="6" s="1"/>
  <c r="I211" i="6" l="1"/>
  <c r="M211" i="6" s="1"/>
  <c r="K212" i="6" s="1"/>
  <c r="L212" i="6" s="1"/>
  <c r="I212" i="6" l="1"/>
  <c r="M212" i="6" s="1"/>
  <c r="K213" i="6" s="1"/>
  <c r="L213" i="6" s="1"/>
  <c r="I213" i="6" l="1"/>
  <c r="M213" i="6" s="1"/>
  <c r="I214" i="6" l="1"/>
  <c r="K214" i="6"/>
  <c r="L214" i="6" s="1"/>
  <c r="M214" i="6" l="1"/>
  <c r="I215" i="6" s="1"/>
  <c r="K215" i="6" l="1"/>
  <c r="L215" i="6" s="1"/>
  <c r="P215" i="6" s="1"/>
  <c r="O215" i="6" l="1"/>
  <c r="M215" i="6"/>
  <c r="I216" i="6" l="1"/>
  <c r="K216" i="6"/>
  <c r="L216" i="6" l="1"/>
  <c r="M216" i="6" s="1"/>
  <c r="K217" i="6" l="1"/>
  <c r="I217" i="6"/>
  <c r="L217" i="6" l="1"/>
  <c r="M217" i="6" s="1"/>
  <c r="K218" i="6" l="1"/>
  <c r="I218" i="6"/>
  <c r="L218" i="6" l="1"/>
  <c r="M218" i="6" s="1"/>
  <c r="I219" i="6" l="1"/>
  <c r="K219" i="6"/>
  <c r="L219" i="6" l="1"/>
  <c r="M219" i="6" s="1"/>
  <c r="I220" i="6" l="1"/>
  <c r="K220" i="6"/>
  <c r="L220" i="6" l="1"/>
  <c r="M220" i="6" s="1"/>
  <c r="K221" i="6" l="1"/>
  <c r="L221" i="6" s="1"/>
  <c r="I221" i="6"/>
  <c r="M221" i="6" l="1"/>
  <c r="I222" i="6" s="1"/>
  <c r="K222" i="6" l="1"/>
  <c r="L222" i="6" s="1"/>
  <c r="M222" i="6" s="1"/>
  <c r="I223" i="6" l="1"/>
  <c r="K223" i="6"/>
  <c r="L223" i="6" s="1"/>
  <c r="M223" i="6" l="1"/>
  <c r="I224" i="6" l="1"/>
  <c r="K224" i="6"/>
  <c r="L224" i="6" s="1"/>
  <c r="M224" i="6" l="1"/>
  <c r="K225" i="6" l="1"/>
  <c r="L225" i="6" s="1"/>
  <c r="I225" i="6"/>
  <c r="M225" i="6" l="1"/>
  <c r="I226" i="6" s="1"/>
  <c r="K226" i="6" l="1"/>
  <c r="L226" i="6" s="1"/>
  <c r="M226" i="6" s="1"/>
  <c r="I227" i="6" s="1"/>
  <c r="K227" i="6" l="1"/>
  <c r="L227" i="6" s="1"/>
  <c r="P227" i="6" l="1"/>
  <c r="M227" i="6"/>
  <c r="K228" i="6" s="1"/>
  <c r="O227" i="6"/>
  <c r="I228" i="6" l="1"/>
  <c r="L228" i="6"/>
  <c r="M228" i="6" l="1"/>
  <c r="I229" i="6" s="1"/>
  <c r="K229" i="6" l="1"/>
  <c r="L229" i="6" s="1"/>
  <c r="M229" i="6" s="1"/>
  <c r="I230" i="6" l="1"/>
  <c r="K230" i="6"/>
  <c r="L230" i="6" l="1"/>
  <c r="M230" i="6" s="1"/>
  <c r="I231" i="6" l="1"/>
  <c r="K231" i="6"/>
  <c r="L231" i="6" l="1"/>
  <c r="M231" i="6" s="1"/>
  <c r="I232" i="6" l="1"/>
  <c r="K232" i="6"/>
  <c r="L232" i="6" l="1"/>
  <c r="M232" i="6" s="1"/>
  <c r="K233" i="6" l="1"/>
  <c r="L233" i="6" s="1"/>
  <c r="I233" i="6"/>
  <c r="M233" i="6" l="1"/>
  <c r="I234" i="6" s="1"/>
  <c r="K234" i="6" l="1"/>
  <c r="L234" i="6" s="1"/>
  <c r="M234" i="6" s="1"/>
  <c r="K235" i="6" l="1"/>
  <c r="L235" i="6" s="1"/>
  <c r="I235" i="6"/>
  <c r="M235" i="6" l="1"/>
  <c r="K236" i="6" l="1"/>
  <c r="L236" i="6" s="1"/>
  <c r="I236" i="6"/>
  <c r="M236" i="6" l="1"/>
  <c r="K237" i="6" s="1"/>
  <c r="L237" i="6" s="1"/>
  <c r="I237" i="6" l="1"/>
  <c r="M237" i="6" s="1"/>
  <c r="I238" i="6" l="1"/>
  <c r="K238" i="6"/>
  <c r="L238" i="6" s="1"/>
  <c r="M238" i="6" l="1"/>
  <c r="I239" i="6" l="1"/>
  <c r="K239" i="6"/>
  <c r="L239" i="6" l="1"/>
  <c r="P239" i="6" s="1"/>
  <c r="O239" i="6"/>
  <c r="M239" i="6" l="1"/>
  <c r="I240" i="6" s="1"/>
  <c r="K240" i="6" l="1"/>
  <c r="L240" i="6" s="1"/>
  <c r="M240" i="6" s="1"/>
  <c r="I241" i="6" l="1"/>
  <c r="K241" i="6"/>
  <c r="L241" i="6" l="1"/>
  <c r="M241" i="6" s="1"/>
  <c r="I242" i="6" l="1"/>
  <c r="K242" i="6"/>
  <c r="L242" i="6" l="1"/>
  <c r="M242" i="6" s="1"/>
  <c r="I243" i="6" l="1"/>
  <c r="K243" i="6"/>
  <c r="L243" i="6" l="1"/>
  <c r="M243" i="6" s="1"/>
  <c r="K244" i="6" l="1"/>
  <c r="I244" i="6"/>
  <c r="L244" i="6" l="1"/>
  <c r="M244" i="6" s="1"/>
  <c r="K245" i="6" l="1"/>
  <c r="L245" i="6" s="1"/>
  <c r="I245" i="6"/>
  <c r="M245" i="6" l="1"/>
  <c r="K246" i="6" s="1"/>
  <c r="L246" i="6" s="1"/>
  <c r="I246" i="6" l="1"/>
  <c r="M246" i="6" s="1"/>
  <c r="K247" i="6" l="1"/>
  <c r="L247" i="6" s="1"/>
  <c r="I247" i="6"/>
  <c r="M247" i="6" l="1"/>
  <c r="I248" i="6" s="1"/>
  <c r="K248" i="6" l="1"/>
  <c r="L248" i="6" s="1"/>
  <c r="M248" i="6"/>
  <c r="K249" i="6" l="1"/>
  <c r="L249" i="6" s="1"/>
  <c r="I249" i="6"/>
  <c r="M249" i="6" l="1"/>
  <c r="I250" i="6" s="1"/>
  <c r="K250" i="6" l="1"/>
  <c r="L250" i="6" s="1"/>
  <c r="M250" i="6" s="1"/>
  <c r="K251" i="6" l="1"/>
  <c r="I251" i="6"/>
  <c r="L251" i="6" l="1"/>
  <c r="P251" i="6" s="1"/>
  <c r="O251" i="6"/>
  <c r="M251" i="6" l="1"/>
  <c r="AC117" i="3" l="1"/>
  <c r="AD117" i="3" s="1"/>
  <c r="AB98" i="3"/>
  <c r="AB101" i="3" s="1"/>
  <c r="AB109" i="3" s="1"/>
  <c r="AC98" i="3" l="1"/>
  <c r="AC101" i="3" s="1"/>
  <c r="F12" i="1"/>
  <c r="F16" i="1" s="1"/>
  <c r="AB111" i="3"/>
  <c r="AE117" i="3"/>
  <c r="AD98" i="3"/>
  <c r="AD101" i="3" s="1"/>
  <c r="AD109" i="3" s="1"/>
  <c r="G12" i="1" l="1"/>
  <c r="G16" i="1" s="1"/>
  <c r="AC109" i="3"/>
  <c r="AC111" i="3" s="1"/>
  <c r="F29" i="1"/>
  <c r="F28" i="1"/>
  <c r="F30" i="1"/>
  <c r="H12" i="1"/>
  <c r="H16" i="1" s="1"/>
  <c r="AD111" i="3"/>
  <c r="AE98" i="3"/>
  <c r="AE101" i="3" s="1"/>
  <c r="AE109" i="3" s="1"/>
  <c r="AF117" i="3"/>
  <c r="G28" i="1"/>
  <c r="G29" i="1"/>
  <c r="G30" i="1"/>
  <c r="AE111" i="3" l="1"/>
  <c r="I12" i="1"/>
  <c r="I16" i="1" s="1"/>
  <c r="H29" i="1"/>
  <c r="H30" i="1"/>
  <c r="H28" i="1"/>
  <c r="AF98" i="3"/>
  <c r="AF101" i="3" s="1"/>
  <c r="AF109" i="3" s="1"/>
  <c r="AG117" i="3"/>
  <c r="F32" i="1"/>
  <c r="G32" i="1"/>
  <c r="H32" i="1" l="1"/>
  <c r="H58" i="1" s="1"/>
  <c r="AG98" i="3"/>
  <c r="AG101" i="3" s="1"/>
  <c r="AG109" i="3" s="1"/>
  <c r="AH117" i="3"/>
  <c r="AF111" i="3"/>
  <c r="J12" i="1"/>
  <c r="J16" i="1" s="1"/>
  <c r="I28" i="1"/>
  <c r="I29" i="1"/>
  <c r="I30" i="1"/>
  <c r="G58" i="1"/>
  <c r="G34" i="1"/>
  <c r="F58" i="1"/>
  <c r="F34" i="1"/>
  <c r="H34" i="1" l="1"/>
  <c r="H61" i="1" s="1"/>
  <c r="I32" i="1"/>
  <c r="I58" i="1" s="1"/>
  <c r="F41" i="1"/>
  <c r="F49" i="1" s="1"/>
  <c r="F61" i="1"/>
  <c r="F57" i="1"/>
  <c r="J7" i="5"/>
  <c r="J9" i="5" s="1"/>
  <c r="J29" i="1"/>
  <c r="J28" i="1"/>
  <c r="J30" i="1"/>
  <c r="AH98" i="3"/>
  <c r="AH101" i="3" s="1"/>
  <c r="AH109" i="3" s="1"/>
  <c r="AI117" i="3"/>
  <c r="E4" i="8"/>
  <c r="G61" i="1"/>
  <c r="G57" i="1"/>
  <c r="H9" i="2" s="1"/>
  <c r="B8" i="8" s="1"/>
  <c r="H10" i="2"/>
  <c r="G41" i="1"/>
  <c r="K7" i="5"/>
  <c r="K9" i="5" s="1"/>
  <c r="K12" i="1"/>
  <c r="K16" i="1" s="1"/>
  <c r="AG111" i="3"/>
  <c r="H41" i="1" l="1"/>
  <c r="H54" i="1" s="1"/>
  <c r="I34" i="1"/>
  <c r="H57" i="1"/>
  <c r="J32" i="1"/>
  <c r="J58" i="1" s="1"/>
  <c r="K10" i="5"/>
  <c r="K11" i="5" s="1"/>
  <c r="J10" i="5"/>
  <c r="J11" i="5" s="1"/>
  <c r="G54" i="1"/>
  <c r="G49" i="1"/>
  <c r="G55" i="1"/>
  <c r="I41" i="1"/>
  <c r="I57" i="1"/>
  <c r="I61" i="1"/>
  <c r="M7" i="5"/>
  <c r="M9" i="5" s="1"/>
  <c r="AI98" i="3"/>
  <c r="AI101" i="3" s="1"/>
  <c r="AI109" i="3" s="1"/>
  <c r="AJ117" i="3"/>
  <c r="K29" i="1"/>
  <c r="K28" i="1"/>
  <c r="K30" i="1"/>
  <c r="AH111" i="3"/>
  <c r="L12" i="1"/>
  <c r="L16" i="1" s="1"/>
  <c r="F54" i="1"/>
  <c r="F55" i="1"/>
  <c r="F51" i="1"/>
  <c r="F44" i="1"/>
  <c r="G44" i="1" s="1"/>
  <c r="H49" i="1" l="1"/>
  <c r="H55" i="1"/>
  <c r="H44" i="1"/>
  <c r="I44" i="1" s="1"/>
  <c r="J34" i="1"/>
  <c r="J41" i="1" s="1"/>
  <c r="M12" i="1"/>
  <c r="M16" i="1" s="1"/>
  <c r="AI111" i="3"/>
  <c r="J32" i="5"/>
  <c r="J14" i="5"/>
  <c r="J17" i="5" s="1"/>
  <c r="I54" i="1"/>
  <c r="I49" i="1"/>
  <c r="I55" i="1"/>
  <c r="M10" i="5"/>
  <c r="M11" i="5" s="1"/>
  <c r="K32" i="1"/>
  <c r="K43" i="5"/>
  <c r="K14" i="5"/>
  <c r="K17" i="5" s="1"/>
  <c r="L28" i="1"/>
  <c r="L30" i="1"/>
  <c r="L29" i="1"/>
  <c r="G51" i="1"/>
  <c r="AJ98" i="3"/>
  <c r="AJ101" i="3" s="1"/>
  <c r="AJ109" i="3" s="1"/>
  <c r="AK117" i="3"/>
  <c r="AK98" i="3" s="1"/>
  <c r="AK101" i="3" s="1"/>
  <c r="AK109" i="3" l="1"/>
  <c r="AK111" i="3" s="1"/>
  <c r="H51" i="1"/>
  <c r="I51" i="1" s="1"/>
  <c r="J61" i="1"/>
  <c r="J57" i="1"/>
  <c r="J44" i="1"/>
  <c r="K58" i="1"/>
  <c r="K34" i="1"/>
  <c r="J55" i="1"/>
  <c r="J54" i="1"/>
  <c r="J49" i="1"/>
  <c r="K19" i="5"/>
  <c r="K20" i="5" s="1"/>
  <c r="K22" i="5" s="1"/>
  <c r="K25" i="5" s="1"/>
  <c r="K26" i="5" s="1"/>
  <c r="H12" i="2" s="1"/>
  <c r="K4" i="8" s="1"/>
  <c r="N12" i="1"/>
  <c r="N16" i="1" s="1"/>
  <c r="AJ111" i="3"/>
  <c r="L32" i="1"/>
  <c r="K46" i="5"/>
  <c r="L49" i="5" s="1"/>
  <c r="E18" i="7" s="1"/>
  <c r="E35" i="7" s="1"/>
  <c r="J19" i="5"/>
  <c r="J20" i="5" s="1"/>
  <c r="J22" i="5" s="1"/>
  <c r="J25" i="5" s="1"/>
  <c r="J26" i="5" s="1"/>
  <c r="J35" i="5"/>
  <c r="K38" i="5" s="1"/>
  <c r="D14" i="7" s="1"/>
  <c r="D35" i="7" s="1"/>
  <c r="J27" i="5" s="1"/>
  <c r="M54" i="5"/>
  <c r="M14" i="5"/>
  <c r="M17" i="5" s="1"/>
  <c r="M29" i="1"/>
  <c r="M28" i="1"/>
  <c r="M30" i="1"/>
  <c r="J51" i="1" l="1"/>
  <c r="J38" i="5"/>
  <c r="J39" i="5" s="1"/>
  <c r="K27" i="5"/>
  <c r="H11" i="2"/>
  <c r="H4" i="8" s="1"/>
  <c r="K49" i="5"/>
  <c r="K50" i="5" s="1"/>
  <c r="M19" i="5"/>
  <c r="M20" i="5" s="1"/>
  <c r="M22" i="5" s="1"/>
  <c r="M25" i="5" s="1"/>
  <c r="M26" i="5" s="1"/>
  <c r="L58" i="1"/>
  <c r="L34" i="1"/>
  <c r="M57" i="5"/>
  <c r="M60" i="5" s="1"/>
  <c r="M61" i="5" s="1"/>
  <c r="O7" i="5"/>
  <c r="O9" i="5" s="1"/>
  <c r="K61" i="1"/>
  <c r="K57" i="1"/>
  <c r="K41" i="1"/>
  <c r="N30" i="1"/>
  <c r="N28" i="1"/>
  <c r="N29" i="1"/>
  <c r="M32" i="1"/>
  <c r="L41" i="1" l="1"/>
  <c r="L61" i="1"/>
  <c r="L57" i="1"/>
  <c r="O10" i="5"/>
  <c r="O11" i="5" s="1"/>
  <c r="N60" i="5"/>
  <c r="F26" i="7" s="1"/>
  <c r="F35" i="7" s="1"/>
  <c r="M27" i="5" s="1"/>
  <c r="K49" i="1"/>
  <c r="K51" i="1" s="1"/>
  <c r="K54" i="1"/>
  <c r="K55" i="1"/>
  <c r="K44" i="1"/>
  <c r="M58" i="1"/>
  <c r="M34" i="1"/>
  <c r="N32" i="1"/>
  <c r="L44" i="1" l="1"/>
  <c r="O65" i="5"/>
  <c r="O14" i="5"/>
  <c r="O17" i="5" s="1"/>
  <c r="M41" i="1"/>
  <c r="M61" i="1"/>
  <c r="M57" i="1"/>
  <c r="N58" i="1"/>
  <c r="N34" i="1"/>
  <c r="L49" i="1"/>
  <c r="L51" i="1" s="1"/>
  <c r="L54" i="1"/>
  <c r="L55" i="1"/>
  <c r="N61" i="1" l="1"/>
  <c r="N41" i="1"/>
  <c r="N57" i="1"/>
  <c r="O19" i="5"/>
  <c r="O20" i="5" s="1"/>
  <c r="O22" i="5" s="1"/>
  <c r="O25" i="5" s="1"/>
  <c r="O26" i="5" s="1"/>
  <c r="M49" i="1"/>
  <c r="M51" i="1" s="1"/>
  <c r="M55" i="1"/>
  <c r="M54" i="1"/>
  <c r="M44" i="1"/>
  <c r="O68" i="5"/>
  <c r="P71" i="5" s="1"/>
  <c r="G34" i="7" s="1"/>
  <c r="G35" i="7" s="1"/>
  <c r="O27" i="5" s="1"/>
  <c r="O71" i="5" l="1"/>
  <c r="O72" i="5" s="1"/>
  <c r="N54" i="1"/>
  <c r="N49" i="1"/>
  <c r="N51" i="1" s="1"/>
  <c r="N55" i="1"/>
  <c r="N44" i="1"/>
  <c r="H8" i="2" s="1"/>
  <c r="E8" i="8" s="1"/>
</calcChain>
</file>

<file path=xl/sharedStrings.xml><?xml version="1.0" encoding="utf-8"?>
<sst xmlns="http://schemas.openxmlformats.org/spreadsheetml/2006/main" count="494" uniqueCount="255">
  <si>
    <t>Annual Cash Flows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</si>
  <si>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</si>
  <si>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</si>
  <si>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</si>
  <si>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</si>
  <si>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</si>
  <si>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</si>
  <si>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</si>
  <si>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</si>
  <si>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</si>
  <si>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</si>
  <si>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Property Income</t>
  </si>
  <si>
    <t>Operating Expenses &amp; NOI</t>
  </si>
  <si>
    <t>Total Operating Expenses (OPEX)</t>
  </si>
  <si>
    <t>Net Operating Income (NOI)</t>
  </si>
  <si>
    <t>Debt Service</t>
  </si>
  <si>
    <t>Principal</t>
  </si>
  <si>
    <t>Interest</t>
  </si>
  <si>
    <t>Total Debt Service</t>
  </si>
  <si>
    <t>Net Cash Flow after Debt Service</t>
  </si>
  <si>
    <t>Cumulative Cash Flow</t>
  </si>
  <si>
    <t>Partner Preference</t>
  </si>
  <si>
    <t>Asset Management Fee</t>
  </si>
  <si>
    <t>Distribution of Excess Capital</t>
  </si>
  <si>
    <t>Purchase Capital Remaining</t>
  </si>
  <si>
    <t>Net Cash Flow After Debt Service &amp; Partner Preference</t>
  </si>
  <si>
    <t>Cumulative Cash Flow After Preference</t>
  </si>
  <si>
    <t>Analysis Metrics</t>
  </si>
  <si>
    <t>Cash on Cash Return (ROI)</t>
  </si>
  <si>
    <t>Return Including Principle Pay Down</t>
  </si>
  <si>
    <t>Cash Flow Profit Margin</t>
  </si>
  <si>
    <t>Cap Rate</t>
  </si>
  <si>
    <t>Operating Expense Ratio</t>
  </si>
  <si>
    <t>Break Even Ratio</t>
  </si>
  <si>
    <t>Interest Carry Ratio</t>
  </si>
  <si>
    <t>Debt Service Coverage Ratio (DSCR)</t>
  </si>
  <si>
    <t>Notes:</t>
  </si>
  <si>
    <t>Dashboard Control</t>
  </si>
  <si>
    <t>Property Information</t>
  </si>
  <si>
    <t>Executive Summary</t>
  </si>
  <si>
    <t>Financing Strategy</t>
  </si>
  <si>
    <t>Relevant Information</t>
  </si>
  <si>
    <t>Address</t>
  </si>
  <si>
    <t>Annual Cash on Cash ROI (YR1)</t>
  </si>
  <si>
    <t>Down Payment %</t>
  </si>
  <si>
    <t>Year Built</t>
  </si>
  <si>
    <t>Nearest Significant Airport</t>
  </si>
  <si>
    <t>County</t>
  </si>
  <si>
    <t>Annual Cash Flow (YR1)</t>
  </si>
  <si>
    <t xml:space="preserve">Interest Rate (annual) </t>
  </si>
  <si>
    <t>Sewer System</t>
  </si>
  <si>
    <t>Distance</t>
  </si>
  <si>
    <t>Acres</t>
  </si>
  <si>
    <t>Total Cash Flow (10 YR Hold)</t>
  </si>
  <si>
    <t>Amortization Term (YRS)</t>
  </si>
  <si>
    <t>Water Supply</t>
  </si>
  <si>
    <t>Next Tax Reassessment</t>
  </si>
  <si>
    <t>Property Cap Rate (YR3)</t>
  </si>
  <si>
    <t>IO (Months)</t>
  </si>
  <si>
    <t>Assessed Value</t>
  </si>
  <si>
    <t>Market Rent</t>
  </si>
  <si>
    <t>Net Operating Income (YR 3)</t>
  </si>
  <si>
    <t>Schedule of Capital Investment</t>
  </si>
  <si>
    <t>Amenities</t>
  </si>
  <si>
    <t>IRR (3 YR Hold)</t>
  </si>
  <si>
    <t>YR1</t>
  </si>
  <si>
    <t>Road Comp</t>
  </si>
  <si>
    <t>Top 5 Employers</t>
  </si>
  <si>
    <t>ROI (3YR Hold)</t>
  </si>
  <si>
    <t>YR2</t>
  </si>
  <si>
    <t>Metro name</t>
  </si>
  <si>
    <t>Metro Population</t>
  </si>
  <si>
    <t>Capital Stack</t>
  </si>
  <si>
    <t>Median Household Income</t>
  </si>
  <si>
    <t>2 Br Rental</t>
  </si>
  <si>
    <t>Sex Offenders</t>
  </si>
  <si>
    <t>Mortgage</t>
  </si>
  <si>
    <t>Crime Index</t>
  </si>
  <si>
    <t>Total Partner Equity</t>
  </si>
  <si>
    <t>Current Employees</t>
  </si>
  <si>
    <t>Big Box Retailer</t>
  </si>
  <si>
    <t>Operating Expense Assumptions</t>
  </si>
  <si>
    <t>Property Acquisition</t>
  </si>
  <si>
    <t>Per Unit Cost</t>
  </si>
  <si>
    <t xml:space="preserve">Taxes &amp; License </t>
  </si>
  <si>
    <t>Acquisition Price</t>
  </si>
  <si>
    <t>Insurance</t>
  </si>
  <si>
    <t xml:space="preserve">Annual Revenue Assumptions </t>
  </si>
  <si>
    <t>Salaries</t>
  </si>
  <si>
    <t>General &amp; Administrative</t>
  </si>
  <si>
    <t>Water &amp; Sewer</t>
  </si>
  <si>
    <t>Bank Points</t>
  </si>
  <si>
    <t>Landscaping &amp; Snow</t>
  </si>
  <si>
    <t>Attorney Fees</t>
  </si>
  <si>
    <t>Trash</t>
  </si>
  <si>
    <t>Survey</t>
  </si>
  <si>
    <t>Exit Strategy Assumptions &amp; Financial Valuation</t>
  </si>
  <si>
    <t>Target Exit Cap Rate</t>
  </si>
  <si>
    <t>Exit Closing Costs Rate</t>
  </si>
  <si>
    <t>Advertising</t>
  </si>
  <si>
    <t>Discount Rate for NPV</t>
  </si>
  <si>
    <t>Property Management Rate</t>
  </si>
  <si>
    <t>Miscellaneous</t>
  </si>
  <si>
    <t>Repair &amp; Maintenance</t>
  </si>
  <si>
    <t>Legal &amp; Accounting</t>
  </si>
  <si>
    <t>Inflation (Annual)</t>
  </si>
  <si>
    <t>Teton Deal Fee</t>
  </si>
  <si>
    <t xml:space="preserve">Partner Annual Preference </t>
  </si>
  <si>
    <t>Capital Account</t>
  </si>
  <si>
    <t>Sources &amp; Uses</t>
  </si>
  <si>
    <t>Total</t>
  </si>
  <si>
    <t>Acquisition Costs</t>
  </si>
  <si>
    <t>Purchase Price</t>
  </si>
  <si>
    <t>Improvements</t>
  </si>
  <si>
    <t>Contingency</t>
  </si>
  <si>
    <t>Total Improvements</t>
  </si>
  <si>
    <t>Total Acquisition &amp; Improvements</t>
  </si>
  <si>
    <t>Total Acquisition Costs</t>
  </si>
  <si>
    <t>Amortization Schedule</t>
  </si>
  <si>
    <t>Financing Required</t>
  </si>
  <si>
    <t>Loan to Value</t>
  </si>
  <si>
    <t>Down Payment / Partner Equity</t>
  </si>
  <si>
    <t>Mortgage Required</t>
  </si>
  <si>
    <t>Interest Rate (Annual)</t>
  </si>
  <si>
    <t>Amortization Term (Years)</t>
  </si>
  <si>
    <t>Monthly Debt Service Payment</t>
  </si>
  <si>
    <t>Exit Stops</t>
  </si>
  <si>
    <t>Net Operating Income Method</t>
  </si>
  <si>
    <t>NOI</t>
  </si>
  <si>
    <t>Property Value</t>
  </si>
  <si>
    <t>Exit Closing Costs</t>
  </si>
  <si>
    <t>Exit Proceeds</t>
  </si>
  <si>
    <t>Net Exit Proceeds</t>
  </si>
  <si>
    <t>Property Exit Proceeds</t>
  </si>
  <si>
    <t>Capital Account Disbursement</t>
  </si>
  <si>
    <t>Mortgage Balance Payoff</t>
  </si>
  <si>
    <t>Gross Proceeds</t>
  </si>
  <si>
    <t>Return of Remaining Purchase Capital</t>
  </si>
  <si>
    <t>Carried Interest</t>
  </si>
  <si>
    <t>Net Exit Proceeds to Investors in excess of contribution</t>
  </si>
  <si>
    <t>Preferred Return paid to date of sale</t>
  </si>
  <si>
    <t>Cumulative Cash Flow in Excess of Purchase Capital</t>
  </si>
  <si>
    <t>Return on Investment</t>
  </si>
  <si>
    <t>Cumulative Cash Flow on Investment Net of Fees</t>
  </si>
  <si>
    <t>ROI</t>
  </si>
  <si>
    <t>IRR</t>
  </si>
  <si>
    <t>Purchase Capital</t>
  </si>
  <si>
    <t>Partner Interest</t>
  </si>
  <si>
    <t>Cash Flow to Investor</t>
  </si>
  <si>
    <t>Cumulative Cash Flow to Investor</t>
  </si>
  <si>
    <t>IRR Calculator</t>
  </si>
  <si>
    <t>Date</t>
  </si>
  <si>
    <t>Key Property Metrics</t>
  </si>
  <si>
    <t>Total Project</t>
  </si>
  <si>
    <t>IRR (3 Year Hold)</t>
  </si>
  <si>
    <t>ROI (3 Year Hold)</t>
  </si>
  <si>
    <t>Net Operating Income (Year 3)</t>
  </si>
  <si>
    <t>Cap Rate (Year 3)</t>
  </si>
  <si>
    <t>Total Cash Flow (10 Year Hold)</t>
  </si>
  <si>
    <t>Interest Only</t>
  </si>
  <si>
    <t>*t=o represents time of purchase</t>
  </si>
  <si>
    <t>PV</t>
  </si>
  <si>
    <t>Interest only</t>
  </si>
  <si>
    <t>Rate</t>
  </si>
  <si>
    <t>How long</t>
  </si>
  <si>
    <t>NPER</t>
  </si>
  <si>
    <t>Month</t>
  </si>
  <si>
    <t>Begin Balance</t>
  </si>
  <si>
    <t>PMT</t>
  </si>
  <si>
    <t>End Balance</t>
  </si>
  <si>
    <t>Total PMT</t>
  </si>
  <si>
    <t>Total Interest</t>
  </si>
  <si>
    <t>Total Principal</t>
  </si>
  <si>
    <t xml:space="preserve">* Assume 3% Rent Increase </t>
  </si>
  <si>
    <t>Revenue Source</t>
  </si>
  <si>
    <t>Total Sites</t>
  </si>
  <si>
    <t xml:space="preserve">Yearly Increases: </t>
  </si>
  <si>
    <t>Rent Revenue Assumptions at Acquisition</t>
  </si>
  <si>
    <t xml:space="preserve">*All revenue is based on avg weekly rates </t>
  </si>
  <si>
    <t>Other Income</t>
  </si>
  <si>
    <t>Well</t>
  </si>
  <si>
    <t>Septic</t>
  </si>
  <si>
    <t>Acquisition per Occupied Site</t>
  </si>
  <si>
    <t>Improved per Occupied Site</t>
  </si>
  <si>
    <t>Sackets Harbor</t>
  </si>
  <si>
    <t>Price Per Site</t>
  </si>
  <si>
    <t>School System</t>
  </si>
  <si>
    <t>Seasonal Sites</t>
  </si>
  <si>
    <t>Transient Sites</t>
  </si>
  <si>
    <t xml:space="preserve">Title Insurance </t>
  </si>
  <si>
    <t>Mortage Tax</t>
  </si>
  <si>
    <t>Permits, Fees, NYS Transfer</t>
  </si>
  <si>
    <t>Bank Fees</t>
  </si>
  <si>
    <t>Albany</t>
  </si>
  <si>
    <t>$1,650-$2,770</t>
  </si>
  <si>
    <t>Periods</t>
  </si>
  <si>
    <t>Years</t>
  </si>
  <si>
    <t>Code</t>
  </si>
  <si>
    <t>Total Revenue</t>
  </si>
  <si>
    <t>S</t>
  </si>
  <si>
    <t>F1</t>
  </si>
  <si>
    <t>F2</t>
  </si>
  <si>
    <t>Site</t>
  </si>
  <si>
    <t>Cost of Goods Sold</t>
  </si>
  <si>
    <t>Total Other Income</t>
  </si>
  <si>
    <t>Lake Bluff Campground</t>
  </si>
  <si>
    <t>7150 Garner Rd, Wolcott, NY 14590</t>
  </si>
  <si>
    <t>Wayne</t>
  </si>
  <si>
    <t>Cabins</t>
  </si>
  <si>
    <t>Total Seasonal Rent</t>
  </si>
  <si>
    <t>Rate Dashboard</t>
  </si>
  <si>
    <t>Trainsient</t>
  </si>
  <si>
    <t>Yearly Occupancy/ Percentage Control</t>
  </si>
  <si>
    <t>Transient Occupancy</t>
  </si>
  <si>
    <t>Cabin Occupancy</t>
  </si>
  <si>
    <t>Year 11</t>
  </si>
  <si>
    <t>Seasonal Rent Roll</t>
  </si>
  <si>
    <t>Seasonal Rent</t>
  </si>
  <si>
    <t>Transient &amp; Cabin Income</t>
  </si>
  <si>
    <t>Total Transient &amp; Cabin Income</t>
  </si>
  <si>
    <t>Electric</t>
  </si>
  <si>
    <t>Propane</t>
  </si>
  <si>
    <t>Store Income</t>
  </si>
  <si>
    <t>Additional Income</t>
  </si>
  <si>
    <t>Propane Percentage</t>
  </si>
  <si>
    <t>Electric Percentage</t>
  </si>
  <si>
    <t>Store Percentage</t>
  </si>
  <si>
    <t>Additional Income Percentage</t>
  </si>
  <si>
    <t>Total Income</t>
  </si>
  <si>
    <t>Electric &amp; Gas</t>
  </si>
  <si>
    <t>Acquisition per 2022 Site Count</t>
  </si>
  <si>
    <t>25 Site Expansion</t>
  </si>
  <si>
    <t>Sources</t>
  </si>
  <si>
    <t>Bank Debt</t>
  </si>
  <si>
    <t>Equity</t>
  </si>
  <si>
    <t>Purchase Price &amp; Improvements</t>
  </si>
  <si>
    <t>Uses</t>
  </si>
  <si>
    <t>Teton Due Diligence</t>
  </si>
  <si>
    <t>Teton Closing Costs</t>
  </si>
  <si>
    <t>Total Acquisition Price, Improvements, Acquistion Costs</t>
  </si>
  <si>
    <t>Partner Equity (Equity &amp; Acquistion Costs)</t>
  </si>
  <si>
    <t>Total Acquisition Price &amp; Improvements</t>
  </si>
  <si>
    <t>Expansion Occupancy</t>
  </si>
  <si>
    <t>Campground Expansion</t>
  </si>
  <si>
    <t>25 Transient Sites</t>
  </si>
  <si>
    <t>Total Revenue Yr 1</t>
  </si>
  <si>
    <t>Total Store Income</t>
  </si>
  <si>
    <t>Annual Rent Increases Starting in Year 2</t>
  </si>
  <si>
    <t>Campground Expansion Water &amp; Electric Sites</t>
  </si>
  <si>
    <t>Full Hookup Sites</t>
  </si>
  <si>
    <t>Water &amp; Electric Sites</t>
  </si>
  <si>
    <t>Rent Roll / Revenue Streams</t>
  </si>
  <si>
    <t>* Year 2 25 Site Expansion</t>
  </si>
  <si>
    <t>10Yr Pro Forma</t>
  </si>
  <si>
    <t>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</si>
</sst>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4"/>
      <color theme="7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Fill="1"/>
    <xf numFmtId="0" fontId="0" fillId="0" borderId="4" xfId="0" applyBorder="1"/>
    <xf numFmtId="0" fontId="0" fillId="0" borderId="5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4" xfId="0" applyNumberFormat="1" applyBorder="1"/>
    <xf numFmtId="0" fontId="3" fillId="0" borderId="5" xfId="0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/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Fill="1" applyAlignment="1"/>
    <xf numFmtId="9" fontId="0" fillId="2" borderId="0" xfId="0" applyNumberFormat="1" applyFill="1" applyAlignment="1"/>
    <xf numFmtId="0" fontId="0" fillId="2" borderId="0" xfId="0" applyFill="1" applyAlignment="1"/>
    <xf numFmtId="0" fontId="0" fillId="2" borderId="0" xfId="0" applyFill="1"/>
    <xf numFmtId="9" fontId="0" fillId="2" borderId="7" xfId="0" applyNumberFormat="1" applyFill="1" applyBorder="1" applyAlignment="1">
      <alignment horizontal="center"/>
    </xf>
    <xf numFmtId="9" fontId="0" fillId="0" borderId="0" xfId="0" applyNumberFormat="1"/>
    <xf numFmtId="164" fontId="0" fillId="0" borderId="1" xfId="1" applyNumberFormat="1" applyFont="1" applyBorder="1"/>
    <xf numFmtId="44" fontId="0" fillId="0" borderId="0" xfId="0" applyNumberFormat="1"/>
    <xf numFmtId="44" fontId="0" fillId="0" borderId="1" xfId="0" applyNumberFormat="1" applyBorder="1"/>
    <xf numFmtId="164" fontId="10" fillId="4" borderId="0" xfId="0" applyNumberFormat="1" applyFont="1" applyFill="1"/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>
      <alignment horizontal="left"/>
    </xf>
    <xf numFmtId="164" fontId="0" fillId="0" borderId="1" xfId="0" applyNumberFormat="1" applyBorder="1"/>
    <xf numFmtId="164" fontId="0" fillId="0" borderId="0" xfId="0" applyNumberFormat="1" applyFill="1"/>
    <xf numFmtId="164" fontId="0" fillId="0" borderId="3" xfId="0" applyNumberFormat="1" applyBorder="1"/>
    <xf numFmtId="9" fontId="0" fillId="2" borderId="0" xfId="0" applyNumberForma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8" xfId="0" applyBorder="1" applyAlignment="1"/>
    <xf numFmtId="164" fontId="0" fillId="2" borderId="2" xfId="0" applyNumberFormat="1" applyFill="1" applyBorder="1" applyAlignment="1"/>
    <xf numFmtId="164" fontId="0" fillId="2" borderId="0" xfId="0" applyNumberFormat="1" applyFill="1" applyAlignment="1"/>
    <xf numFmtId="44" fontId="0" fillId="2" borderId="0" xfId="0" applyNumberFormat="1" applyFill="1" applyAlignment="1"/>
    <xf numFmtId="164" fontId="0" fillId="0" borderId="0" xfId="0" applyNumberFormat="1" applyFill="1" applyAlignment="1"/>
    <xf numFmtId="164" fontId="0" fillId="0" borderId="0" xfId="0" applyNumberFormat="1" applyBorder="1"/>
    <xf numFmtId="9" fontId="0" fillId="2" borderId="2" xfId="0" applyNumberFormat="1" applyFill="1" applyBorder="1" applyAlignment="1"/>
    <xf numFmtId="0" fontId="0" fillId="2" borderId="2" xfId="0" applyFill="1" applyBorder="1" applyAlignment="1"/>
    <xf numFmtId="8" fontId="0" fillId="0" borderId="0" xfId="0" applyNumberFormat="1"/>
    <xf numFmtId="0" fontId="0" fillId="0" borderId="11" xfId="0" applyBorder="1"/>
    <xf numFmtId="164" fontId="0" fillId="5" borderId="4" xfId="0" applyNumberFormat="1" applyFill="1" applyBorder="1"/>
    <xf numFmtId="164" fontId="0" fillId="5" borderId="5" xfId="0" applyNumberFormat="1" applyFill="1" applyBorder="1"/>
    <xf numFmtId="9" fontId="0" fillId="0" borderId="0" xfId="2" applyFont="1"/>
    <xf numFmtId="10" fontId="0" fillId="0" borderId="0" xfId="2" applyNumberFormat="1" applyFont="1"/>
    <xf numFmtId="2" fontId="0" fillId="0" borderId="0" xfId="2" applyNumberFormat="1" applyFont="1"/>
    <xf numFmtId="14" fontId="0" fillId="0" borderId="0" xfId="0" applyNumberFormat="1" applyBorder="1" applyAlignment="1">
      <alignment horizontal="center"/>
    </xf>
    <xf numFmtId="44" fontId="0" fillId="6" borderId="0" xfId="0" applyNumberFormat="1" applyFill="1"/>
    <xf numFmtId="44" fontId="0" fillId="0" borderId="12" xfId="0" applyNumberFormat="1" applyBorder="1"/>
    <xf numFmtId="44" fontId="3" fillId="0" borderId="0" xfId="0" applyNumberFormat="1" applyFont="1"/>
    <xf numFmtId="0" fontId="3" fillId="0" borderId="1" xfId="0" applyFont="1" applyFill="1" applyBorder="1" applyAlignment="1"/>
    <xf numFmtId="0" fontId="0" fillId="0" borderId="1" xfId="0" applyFill="1" applyBorder="1"/>
    <xf numFmtId="44" fontId="0" fillId="0" borderId="0" xfId="0" applyNumberFormat="1" applyBorder="1"/>
    <xf numFmtId="0" fontId="3" fillId="0" borderId="5" xfId="0" applyFont="1" applyBorder="1" applyAlignment="1">
      <alignment horizontal="center"/>
    </xf>
    <xf numFmtId="44" fontId="3" fillId="0" borderId="0" xfId="0" applyNumberFormat="1" applyFont="1" applyFill="1" applyBorder="1"/>
    <xf numFmtId="10" fontId="0" fillId="0" borderId="0" xfId="0" applyNumberFormat="1"/>
    <xf numFmtId="44" fontId="0" fillId="6" borderId="11" xfId="0" applyNumberFormat="1" applyFill="1" applyBorder="1"/>
    <xf numFmtId="0" fontId="5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Border="1"/>
    <xf numFmtId="164" fontId="0" fillId="0" borderId="3" xfId="1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2" fillId="3" borderId="0" xfId="0" applyFont="1" applyFill="1" applyAlignment="1"/>
    <xf numFmtId="0" fontId="3" fillId="0" borderId="1" xfId="0" applyFont="1" applyBorder="1" applyAlignment="1">
      <alignment horizontal="center"/>
    </xf>
    <xf numFmtId="164" fontId="0" fillId="2" borderId="0" xfId="0" applyNumberFormat="1" applyFill="1" applyAlignment="1">
      <alignment horizontal="left" indent="2"/>
    </xf>
    <xf numFmtId="164" fontId="0" fillId="2" borderId="2" xfId="0" applyNumberFormat="1" applyFill="1" applyBorder="1" applyAlignment="1">
      <alignment horizontal="left" indent="2"/>
    </xf>
    <xf numFmtId="9" fontId="0" fillId="2" borderId="7" xfId="0" applyNumberFormat="1" applyFill="1" applyBorder="1" applyAlignment="1"/>
    <xf numFmtId="166" fontId="0" fillId="0" borderId="0" xfId="0" applyNumberFormat="1"/>
    <xf numFmtId="0" fontId="5" fillId="0" borderId="1" xfId="0" applyFont="1" applyBorder="1" applyAlignment="1">
      <alignment horizontal="center"/>
    </xf>
    <xf numFmtId="44" fontId="0" fillId="2" borderId="0" xfId="1" applyFont="1" applyFill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0" borderId="1" xfId="0" applyFont="1" applyBorder="1" applyAlignment="1">
      <alignment horizontal="center"/>
    </xf>
    <xf numFmtId="167" fontId="0" fillId="0" borderId="0" xfId="0" applyNumberFormat="1"/>
    <xf numFmtId="167" fontId="0" fillId="6" borderId="0" xfId="0" applyNumberFormat="1" applyFill="1"/>
    <xf numFmtId="0" fontId="3" fillId="0" borderId="1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4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8" fontId="0" fillId="2" borderId="0" xfId="3" applyNumberFormat="1" applyFont="1" applyFill="1" applyAlignment="1"/>
    <xf numFmtId="165" fontId="0" fillId="2" borderId="7" xfId="0" applyNumberFormat="1" applyFill="1" applyBorder="1" applyAlignment="1">
      <alignment horizontal="left"/>
    </xf>
    <xf numFmtId="3" fontId="0" fillId="0" borderId="0" xfId="0" applyNumberFormat="1"/>
    <xf numFmtId="164" fontId="0" fillId="7" borderId="1" xfId="0" applyNumberFormat="1" applyFill="1" applyBorder="1" applyAlignment="1">
      <alignment horizontal="left" indent="2"/>
    </xf>
    <xf numFmtId="164" fontId="0" fillId="7" borderId="0" xfId="0" applyNumberFormat="1" applyFill="1"/>
    <xf numFmtId="164" fontId="0" fillId="7" borderId="0" xfId="0" applyNumberFormat="1" applyFill="1" applyAlignment="1">
      <alignment horizontal="left" indent="2"/>
    </xf>
    <xf numFmtId="164" fontId="0" fillId="0" borderId="0" xfId="0" applyNumberFormat="1" applyFill="1" applyAlignment="1">
      <alignment horizontal="left" indent="2"/>
    </xf>
    <xf numFmtId="164" fontId="0" fillId="0" borderId="1" xfId="0" applyNumberFormat="1" applyFill="1" applyBorder="1" applyAlignment="1">
      <alignment horizontal="left" indent="2"/>
    </xf>
    <xf numFmtId="44" fontId="0" fillId="0" borderId="0" xfId="0" applyNumberFormat="1" applyFill="1" applyAlignment="1"/>
    <xf numFmtId="164" fontId="0" fillId="0" borderId="2" xfId="0" applyNumberFormat="1" applyFill="1" applyBorder="1" applyAlignment="1">
      <alignment horizontal="left" indent="2"/>
    </xf>
    <xf numFmtId="164" fontId="0" fillId="2" borderId="0" xfId="1" applyNumberFormat="1" applyFont="1" applyFill="1"/>
    <xf numFmtId="164" fontId="0" fillId="2" borderId="0" xfId="1" applyNumberFormat="1" applyFont="1" applyFill="1" applyBorder="1"/>
    <xf numFmtId="0" fontId="6" fillId="2" borderId="0" xfId="0" applyFont="1" applyFill="1"/>
    <xf numFmtId="17" fontId="11" fillId="0" borderId="0" xfId="0" applyNumberFormat="1" applyFont="1" applyBorder="1" applyAlignment="1">
      <alignment horizontal="center"/>
    </xf>
    <xf numFmtId="44" fontId="0" fillId="0" borderId="2" xfId="0" applyNumberFormat="1" applyFill="1" applyBorder="1" applyAlignment="1"/>
    <xf numFmtId="9" fontId="3" fillId="0" borderId="0" xfId="2" applyFont="1" applyFill="1" applyBorder="1" applyAlignment="1"/>
    <xf numFmtId="0" fontId="5" fillId="0" borderId="0" xfId="0" applyFont="1" applyFill="1" applyBorder="1"/>
    <xf numFmtId="164" fontId="0" fillId="0" borderId="2" xfId="0" applyNumberFormat="1" applyFill="1" applyBorder="1" applyAlignment="1"/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44" fontId="0" fillId="0" borderId="0" xfId="1" applyFont="1" applyFill="1" applyBorder="1"/>
    <xf numFmtId="164" fontId="0" fillId="0" borderId="0" xfId="0" applyNumberFormat="1" applyBorder="1" applyAlignment="1"/>
    <xf numFmtId="166" fontId="0" fillId="0" borderId="0" xfId="0" applyNumberFormat="1" applyFill="1" applyBorder="1"/>
    <xf numFmtId="0" fontId="0" fillId="0" borderId="15" xfId="0" applyBorder="1"/>
    <xf numFmtId="44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/>
    <xf numFmtId="164" fontId="0" fillId="2" borderId="0" xfId="2" applyNumberFormat="1" applyFont="1" applyFill="1" applyAlignment="1">
      <alignment horizontal="left" indent="2"/>
    </xf>
    <xf numFmtId="0" fontId="3" fillId="0" borderId="0" xfId="0" applyFont="1" applyBorder="1" applyAlignment="1">
      <alignment horizontal="center"/>
    </xf>
    <xf numFmtId="10" fontId="0" fillId="2" borderId="2" xfId="0" applyNumberFormat="1" applyFill="1" applyBorder="1" applyAlignment="1"/>
    <xf numFmtId="164" fontId="0" fillId="2" borderId="0" xfId="0" applyNumberFormat="1" applyFill="1" applyAlignment="1">
      <alignment horizontal="right"/>
    </xf>
    <xf numFmtId="164" fontId="0" fillId="2" borderId="1" xfId="0" applyNumberFormat="1" applyFill="1" applyBorder="1" applyAlignment="1">
      <alignment horizontal="left"/>
    </xf>
    <xf numFmtId="9" fontId="0" fillId="2" borderId="2" xfId="0" applyNumberFormat="1" applyFill="1" applyBorder="1" applyAlignment="1">
      <alignment horizontal="right"/>
    </xf>
    <xf numFmtId="44" fontId="0" fillId="2" borderId="0" xfId="0" applyNumberFormat="1" applyFill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8" borderId="0" xfId="0" applyFill="1" applyBorder="1" applyAlignment="1">
      <alignment horizontal="right"/>
    </xf>
    <xf numFmtId="164" fontId="0" fillId="5" borderId="0" xfId="0" applyNumberFormat="1" applyFill="1" applyBorder="1"/>
    <xf numFmtId="164" fontId="0" fillId="5" borderId="1" xfId="0" applyNumberFormat="1" applyFill="1" applyBorder="1"/>
    <xf numFmtId="164" fontId="0" fillId="0" borderId="2" xfId="0" applyNumberFormat="1" applyBorder="1"/>
    <xf numFmtId="164" fontId="0" fillId="4" borderId="0" xfId="0" applyNumberFormat="1" applyFill="1" applyBorder="1"/>
    <xf numFmtId="0" fontId="19" fillId="0" borderId="0" xfId="0" applyFont="1"/>
    <xf numFmtId="0" fontId="20" fillId="0" borderId="0" xfId="0" applyFont="1"/>
    <xf numFmtId="0" fontId="2" fillId="0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10" fontId="0" fillId="4" borderId="0" xfId="2" applyNumberFormat="1" applyFont="1" applyFill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/>
    <xf numFmtId="0" fontId="0" fillId="0" borderId="0" xfId="0" applyAlignment="1"/>
    <xf numFmtId="14" fontId="3" fillId="0" borderId="4" xfId="0" applyNumberFormat="1" applyFont="1" applyBorder="1"/>
    <xf numFmtId="14" fontId="3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0" fontId="2" fillId="3" borderId="0" xfId="0" applyFont="1" applyFill="1"/>
    <xf numFmtId="0" fontId="4" fillId="3" borderId="0" xfId="0" applyFont="1" applyFill="1"/>
    <xf numFmtId="0" fontId="22" fillId="0" borderId="0" xfId="0" applyFont="1"/>
    <xf numFmtId="43" fontId="0" fillId="0" borderId="0" xfId="3" applyFont="1" applyAlignment="1">
      <alignment horizontal="right"/>
    </xf>
    <xf numFmtId="43" fontId="0" fillId="0" borderId="0" xfId="3" applyFont="1" applyFill="1" applyAlignment="1">
      <alignment horizontal="right"/>
    </xf>
    <xf numFmtId="168" fontId="0" fillId="0" borderId="0" xfId="3" applyNumberFormat="1" applyFont="1" applyBorder="1"/>
    <xf numFmtId="9" fontId="16" fillId="0" borderId="0" xfId="0" applyNumberFormat="1" applyFont="1"/>
    <xf numFmtId="0" fontId="3" fillId="0" borderId="0" xfId="0" applyFont="1" applyBorder="1"/>
    <xf numFmtId="168" fontId="23" fillId="9" borderId="0" xfId="3" applyNumberFormat="1" applyFont="1" applyFill="1"/>
    <xf numFmtId="168" fontId="0" fillId="0" borderId="0" xfId="0" applyNumberFormat="1"/>
    <xf numFmtId="168" fontId="3" fillId="0" borderId="0" xfId="1" applyNumberFormat="1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43" fontId="0" fillId="0" borderId="1" xfId="3" applyFont="1" applyFill="1" applyBorder="1" applyAlignment="1">
      <alignment horizontal="right"/>
    </xf>
    <xf numFmtId="0" fontId="0" fillId="0" borderId="17" xfId="0" applyBorder="1"/>
    <xf numFmtId="168" fontId="0" fillId="0" borderId="11" xfId="3" applyNumberFormat="1" applyFont="1" applyBorder="1"/>
    <xf numFmtId="0" fontId="3" fillId="0" borderId="0" xfId="0" applyFont="1" applyFill="1" applyBorder="1"/>
    <xf numFmtId="0" fontId="3" fillId="0" borderId="19" xfId="0" applyFont="1" applyBorder="1" applyAlignment="1"/>
    <xf numFmtId="0" fontId="0" fillId="0" borderId="13" xfId="0" applyBorder="1"/>
    <xf numFmtId="0" fontId="3" fillId="0" borderId="20" xfId="0" applyFont="1" applyBorder="1" applyAlignment="1"/>
    <xf numFmtId="9" fontId="3" fillId="0" borderId="20" xfId="0" applyNumberFormat="1" applyFont="1" applyBorder="1" applyAlignment="1"/>
    <xf numFmtId="0" fontId="3" fillId="0" borderId="18" xfId="0" applyFont="1" applyBorder="1" applyAlignment="1">
      <alignment horizontal="left" indent="1"/>
    </xf>
    <xf numFmtId="164" fontId="0" fillId="0" borderId="8" xfId="0" applyNumberFormat="1" applyBorder="1"/>
    <xf numFmtId="9" fontId="0" fillId="0" borderId="0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0" fontId="0" fillId="0" borderId="21" xfId="0" applyBorder="1"/>
    <xf numFmtId="0" fontId="0" fillId="0" borderId="3" xfId="0" applyFont="1" applyBorder="1" applyAlignment="1">
      <alignment horizontal="left" indent="1"/>
    </xf>
    <xf numFmtId="0" fontId="3" fillId="0" borderId="16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20" xfId="0" applyBorder="1"/>
    <xf numFmtId="0" fontId="0" fillId="0" borderId="22" xfId="0" applyBorder="1"/>
    <xf numFmtId="0" fontId="3" fillId="0" borderId="23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8" fontId="1" fillId="0" borderId="0" xfId="1" applyNumberFormat="1" applyFont="1" applyBorder="1"/>
    <xf numFmtId="0" fontId="3" fillId="0" borderId="11" xfId="0" applyFont="1" applyFill="1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44" fontId="0" fillId="0" borderId="0" xfId="1" applyFont="1" applyBorder="1" applyAlignment="1"/>
    <xf numFmtId="0" fontId="3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left" indent="1"/>
    </xf>
    <xf numFmtId="0" fontId="3" fillId="0" borderId="18" xfId="0" applyFont="1" applyBorder="1" applyAlignment="1">
      <alignment horizontal="left" vertical="center" indent="1"/>
    </xf>
    <xf numFmtId="164" fontId="0" fillId="0" borderId="0" xfId="1" applyNumberFormat="1" applyFont="1" applyBorder="1" applyAlignment="1"/>
    <xf numFmtId="164" fontId="0" fillId="0" borderId="8" xfId="1" applyNumberFormat="1" applyFont="1" applyBorder="1" applyAlignment="1"/>
    <xf numFmtId="168" fontId="3" fillId="0" borderId="11" xfId="3" applyNumberFormat="1" applyFont="1" applyBorder="1"/>
    <xf numFmtId="0" fontId="3" fillId="0" borderId="3" xfId="0" applyFont="1" applyBorder="1"/>
    <xf numFmtId="0" fontId="3" fillId="0" borderId="6" xfId="0" applyFont="1" applyBorder="1"/>
    <xf numFmtId="168" fontId="3" fillId="0" borderId="3" xfId="1" applyNumberFormat="1" applyFont="1" applyBorder="1"/>
    <xf numFmtId="0" fontId="0" fillId="0" borderId="3" xfId="0" applyFont="1" applyBorder="1"/>
    <xf numFmtId="9" fontId="16" fillId="0" borderId="3" xfId="0" applyNumberFormat="1" applyFont="1" applyBorder="1"/>
    <xf numFmtId="168" fontId="0" fillId="0" borderId="3" xfId="1" applyNumberFormat="1" applyFont="1" applyBorder="1"/>
    <xf numFmtId="44" fontId="21" fillId="0" borderId="0" xfId="1" applyFont="1" applyFill="1"/>
    <xf numFmtId="0" fontId="10" fillId="0" borderId="0" xfId="0" applyFont="1" applyFill="1" applyAlignment="1"/>
    <xf numFmtId="9" fontId="0" fillId="0" borderId="0" xfId="0" applyNumberFormat="1" applyFont="1" applyAlignment="1">
      <alignment horizontal="center"/>
    </xf>
    <xf numFmtId="0" fontId="3" fillId="0" borderId="2" xfId="0" applyFont="1" applyBorder="1" applyAlignment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13" xfId="1" applyNumberFormat="1" applyFont="1" applyBorder="1"/>
    <xf numFmtId="164" fontId="3" fillId="0" borderId="1" xfId="0" applyNumberFormat="1" applyFont="1" applyBorder="1"/>
    <xf numFmtId="0" fontId="4" fillId="0" borderId="0" xfId="0" applyFont="1" applyFill="1"/>
    <xf numFmtId="164" fontId="10" fillId="0" borderId="0" xfId="0" applyNumberFormat="1" applyFont="1" applyFill="1"/>
    <xf numFmtId="0" fontId="4" fillId="0" borderId="0" xfId="0" applyFont="1" applyFill="1" applyBorder="1"/>
    <xf numFmtId="44" fontId="10" fillId="0" borderId="0" xfId="0" applyNumberFormat="1" applyFont="1" applyFill="1" applyBorder="1"/>
    <xf numFmtId="0" fontId="0" fillId="3" borderId="0" xfId="0" applyFill="1"/>
    <xf numFmtId="0" fontId="0" fillId="3" borderId="0" xfId="0" applyFill="1" applyBorder="1"/>
    <xf numFmtId="168" fontId="3" fillId="0" borderId="11" xfId="1" applyNumberFormat="1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2" xfId="0" applyFont="1" applyFill="1" applyBorder="1"/>
    <xf numFmtId="0" fontId="0" fillId="0" borderId="2" xfId="0" applyBorder="1"/>
    <xf numFmtId="44" fontId="0" fillId="0" borderId="0" xfId="1" applyFont="1" applyFill="1"/>
    <xf numFmtId="164" fontId="3" fillId="2" borderId="1" xfId="1" applyNumberFormat="1" applyFont="1" applyFill="1" applyBorder="1"/>
    <xf numFmtId="10" fontId="0" fillId="0" borderId="0" xfId="2" applyNumberFormat="1" applyFon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13" fillId="0" borderId="0" xfId="0" applyFont="1" applyAlignment="1">
      <alignment horizontal="center"/>
    </xf>
    <xf numFmtId="9" fontId="14" fillId="0" borderId="0" xfId="2" applyFont="1" applyBorder="1" applyAlignment="1">
      <alignment horizontal="center"/>
    </xf>
    <xf numFmtId="9" fontId="14" fillId="0" borderId="3" xfId="2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2" fillId="3" borderId="0" xfId="0" applyFont="1" applyFill="1" applyAlignment="1">
      <alignment horizontal="left"/>
    </xf>
    <xf numFmtId="0" fontId="10" fillId="4" borderId="0" xfId="0" applyFont="1" applyFill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1"/>
    </xf>
    <xf numFmtId="0" fontId="3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Alignment="1">
      <alignment horizontal="left"/>
    </xf>
    <xf numFmtId="44" fontId="0" fillId="2" borderId="0" xfId="1" applyFont="1" applyFill="1" applyAlignment="1">
      <alignment horizontal="left"/>
    </xf>
    <xf numFmtId="6" fontId="0" fillId="2" borderId="0" xfId="0" applyNumberFormat="1" applyFill="1" applyAlignment="1">
      <alignment horizontal="left"/>
    </xf>
    <xf numFmtId="0" fontId="0" fillId="0" borderId="0" xfId="0" applyAlignment="1">
      <alignment horizontal="left" indent="3"/>
    </xf>
    <xf numFmtId="0" fontId="0" fillId="0" borderId="0" xfId="0" applyAlignme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0" fillId="0" borderId="0" xfId="0" applyFill="1" applyBorder="1" applyAlignment="1">
      <alignment horizontal="left" indent="1"/>
    </xf>
    <xf numFmtId="0" fontId="3" fillId="0" borderId="0" xfId="0" applyFont="1" applyAlignment="1"/>
    <xf numFmtId="0" fontId="10" fillId="0" borderId="0" xfId="0" applyFont="1" applyFill="1" applyAlignment="1">
      <alignment horizontal="left" indent="1"/>
    </xf>
    <xf numFmtId="0" fontId="2" fillId="3" borderId="0" xfId="0" applyFont="1" applyFill="1" applyAlignment="1"/>
    <xf numFmtId="0" fontId="0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 indent="2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 Year Net Operating Income</a:t>
            </a:r>
          </a:p>
        </c:rich>
      </c:tx>
      <c:layout>
        <c:manualLayout>
          <c:xMode val="edge"/>
          <c:yMode val="edge"/>
          <c:x val="0.22783689266848645"/>
          <c:y val="2.4806205588102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cat>
            <c:strRef>
              <c:f>'Cash Flow 10 Yr'!$E$6:$N$6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'Cash Flow 10 Yr'!$E$34:$N$34</c:f>
              <c:numCache>
                <c:formatCode>_("$"* #,##0_);_("$"* \(#,##0\);_("$"* "-"??_);_(@_)</c:formatCode>
                <c:ptCount val="10"/>
                <c:pt idx="0">
                  <c:v>255900.71000000002</c:v>
                </c:pt>
                <c:pt idx="1">
                  <c:v>296841.74850000005</c:v>
                </c:pt>
                <c:pt idx="2">
                  <c:v>310330.50249900023</c:v>
                </c:pt>
                <c:pt idx="3">
                  <c:v>324361.20150885027</c:v>
                </c:pt>
                <c:pt idx="4">
                  <c:v>338953.59149849351</c:v>
                </c:pt>
                <c:pt idx="5">
                  <c:v>354128.10282743681</c:v>
                </c:pt>
                <c:pt idx="6">
                  <c:v>369905.87328547449</c:v>
                </c:pt>
                <c:pt idx="7">
                  <c:v>383441.61351936421</c:v>
                </c:pt>
                <c:pt idx="8">
                  <c:v>397453.07724097825</c:v>
                </c:pt>
                <c:pt idx="9">
                  <c:v>411955.92918055924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223-9C82-E84DBEA5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29120"/>
        <c:axId val="1425555936"/>
      </c:lineChart>
      <c:catAx>
        <c:axId val="117422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rgbClr val="00206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5555936"/>
        <c:crosses val="autoZero"/>
        <c:auto val="1"/>
        <c:lblAlgn val="ctr"/>
        <c:lblOffset val="100"/>
        <c:noMultiLvlLbl val="0"/>
      </c:catAx>
      <c:valAx>
        <c:axId val="1425555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rgbClr val="00206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422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Operating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5A6-43E3-BA21-C3BF51F2DA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5A6-43E3-BA21-C3BF51F2DA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5A6-43E3-BA21-C3BF51F2DA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5A6-43E3-BA21-C3BF51F2DA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5A6-43E3-BA21-C3BF51F2DA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5A6-43E3-BA21-C3BF51F2DA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5A6-43E3-BA21-C3BF51F2DA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25A6-43E3-BA21-C3BF51F2DA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25A6-43E3-BA21-C3BF51F2DA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25A6-43E3-BA21-C3BF51F2DAC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25A6-43E3-BA21-C3BF51F2DAC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25A6-43E3-BA21-C3BF51F2DA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('Dashboard Control'!$F$24:$F$27,'Dashboard Control'!$F$28:$F$31,'Dashboard Control'!$F$32:$F$36)</c15:sqref>
                  </c15:fullRef>
                </c:ext>
              </c:extLst>
              <c:f>('Dashboard Control'!$F$24:$F$25,'Dashboard Control'!$F$27,'Dashboard Control'!$F$28:$F$31,'Dashboard Control'!$F$32:$F$36)</c:f>
              <c:strCache>
                <c:ptCount val="12"/>
                <c:pt idx="0">
                  <c:v>Taxes &amp; License </c:v>
                </c:pt>
                <c:pt idx="1">
                  <c:v>Insurance</c:v>
                </c:pt>
                <c:pt idx="2">
                  <c:v>General &amp; Administrative</c:v>
                </c:pt>
                <c:pt idx="3">
                  <c:v>Water &amp; Sewer</c:v>
                </c:pt>
                <c:pt idx="4">
                  <c:v>Landscaping &amp; Snow</c:v>
                </c:pt>
                <c:pt idx="5">
                  <c:v>Trash</c:v>
                </c:pt>
                <c:pt idx="6">
                  <c:v>Electric &amp; Gas</c:v>
                </c:pt>
                <c:pt idx="7">
                  <c:v>Advertising</c:v>
                </c:pt>
                <c:pt idx="8">
                  <c:v>Property Management Rate</c:v>
                </c:pt>
                <c:pt idx="9">
                  <c:v>Asset Management Fee</c:v>
                </c:pt>
                <c:pt idx="10">
                  <c:v>Repair &amp; Maintenance</c:v>
                </c:pt>
                <c:pt idx="11">
                  <c:v>Legal &amp; Accounting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('Dashboard Control'!$H$24:$H$27,'Dashboard Control'!$H$28:$H$31,'Dashboard Control'!$H$32:$H$36)</c15:sqref>
                  </c15:fullRef>
                </c:ext>
              </c:extLst>
              <c:f>('Dashboard Control'!$H$24:$H$25,'Dashboard Control'!$H$27,'Dashboard Control'!$H$28:$H$31,'Dashboard Control'!$H$32:$H$36)</c:f>
              <c:numCache>
                <c:formatCode>_("$"* #,##0_);_("$"* \(#,##0\);_("$"* "-"??_);_(@_)</c:formatCode>
                <c:ptCount val="12"/>
                <c:pt idx="0">
                  <c:v>25000</c:v>
                </c:pt>
                <c:pt idx="1">
                  <c:v>20000</c:v>
                </c:pt>
                <c:pt idx="2">
                  <c:v>16000</c:v>
                </c:pt>
                <c:pt idx="3">
                  <c:v>6000</c:v>
                </c:pt>
                <c:pt idx="4">
                  <c:v>1887</c:v>
                </c:pt>
                <c:pt idx="5">
                  <c:v>3000</c:v>
                </c:pt>
                <c:pt idx="6">
                  <c:v>40000</c:v>
                </c:pt>
                <c:pt idx="7">
                  <c:v>2000</c:v>
                </c:pt>
                <c:pt idx="8">
                  <c:v>38201.310000000005</c:v>
                </c:pt>
                <c:pt idx="9">
                  <c:v>5457.33</c:v>
                </c:pt>
                <c:pt idx="10">
                  <c:v>27286.65</c:v>
                </c:pt>
                <c:pt idx="11" formatCode="_(&quot;$&quot;* #,##0.00_);_(&quot;$&quot;* \(#,##0.00\);_(&quot;$&quot;* &quot;-&quot;??_);_(@_)">
                  <c:v>5000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A-7C50-4D4B-A3FC-6CC11CABFF3C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552448</xdr:colOff>
      <xdr:row>10</xdr:row>
      <xdr:rowOff>85725</xdr:rowOff>
    </xdr:from>
    <xdr:to>
      <xdr:col>13</xdr:col>
      <xdr:colOff>47625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9C1E71-6E24-4192-AD1B-3646D0C37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28</xdr:row>
      <xdr:rowOff>42862</xdr:rowOff>
    </xdr:from>
    <xdr:to>
      <xdr:col>10</xdr:col>
      <xdr:colOff>171450</xdr:colOff>
      <xdr:row>42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0C4183-C657-4229-ADD9-A8A5F8D4A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0A55-F26A-4FB2-BEEC-2BFE612B3D3B}">
  <dimension ref="B3:M10"/>
  <sheetViews>
    <sheetView showGridLines="0" zoomScaleNormal="100" workbookViewId="0">
      <selection activeCell="R8" sqref="R8"/>
    </sheetView>
  </sheetViews>
  <sheetFormatPr defaultRowHeight="14.4" x14ac:dyDescent="0.3"/>
  <cols>
    <col min="7" max="7" width="13.44140625" customWidth="1"/>
  </cols>
  <sheetData>
    <row r="3" spans="2:13" ht="18" x14ac:dyDescent="0.35">
      <c r="B3" s="249" t="s">
        <v>152</v>
      </c>
      <c r="C3" s="249"/>
      <c r="D3" s="249"/>
    </row>
    <row r="4" spans="2:13" x14ac:dyDescent="0.3">
      <c r="B4" s="246">
        <f>'Dashboard Control'!N15</f>
        <v>2450000</v>
      </c>
      <c r="C4" s="246"/>
      <c r="D4" s="246"/>
      <c r="E4" s="246">
        <f>'Cash Flow 10 Yr'!G34</f>
        <v>310330.50249900023</v>
      </c>
      <c r="F4" s="246"/>
      <c r="G4" s="246"/>
      <c r="H4" s="244">
        <f>'Dashboard Control'!H11</f>
        <v>0.33438531756401069</v>
      </c>
      <c r="I4" s="244"/>
      <c r="J4" s="244"/>
      <c r="K4" s="244">
        <f>'Dashboard Control'!H12</f>
        <v>1.2938166610007642</v>
      </c>
      <c r="L4" s="244"/>
      <c r="M4" s="244"/>
    </row>
    <row r="5" spans="2:13" ht="15" thickBot="1" x14ac:dyDescent="0.35">
      <c r="B5" s="247"/>
      <c r="C5" s="247"/>
      <c r="D5" s="247"/>
      <c r="E5" s="247"/>
      <c r="F5" s="247"/>
      <c r="G5" s="247"/>
      <c r="H5" s="245"/>
      <c r="I5" s="245"/>
      <c r="J5" s="245"/>
      <c r="K5" s="245"/>
      <c r="L5" s="245"/>
      <c r="M5" s="245"/>
    </row>
    <row r="6" spans="2:13" x14ac:dyDescent="0.3">
      <c r="B6" s="243" t="s">
        <v>153</v>
      </c>
      <c r="C6" s="243"/>
      <c r="D6" s="243"/>
      <c r="E6" s="243" t="s">
        <v>156</v>
      </c>
      <c r="F6" s="243"/>
      <c r="G6" s="243"/>
      <c r="H6" s="243" t="s">
        <v>154</v>
      </c>
      <c r="I6" s="243"/>
      <c r="J6" s="243"/>
      <c r="K6" s="243" t="s">
        <v>155</v>
      </c>
      <c r="L6" s="243"/>
      <c r="M6" s="243"/>
    </row>
    <row r="8" spans="2:13" x14ac:dyDescent="0.3">
      <c r="B8" s="244">
        <f>'Dashboard Control'!H9</f>
        <v>0.12666551122408173</v>
      </c>
      <c r="C8" s="244"/>
      <c r="D8" s="244"/>
      <c r="E8" s="246">
        <f>'Dashboard Control'!H8</f>
        <v>2196164.8323619533</v>
      </c>
      <c r="F8" s="246"/>
      <c r="G8" s="246"/>
    </row>
    <row r="9" spans="2:13" ht="18.600000000000001" thickBot="1" x14ac:dyDescent="0.4">
      <c r="B9" s="245"/>
      <c r="C9" s="245"/>
      <c r="D9" s="245"/>
      <c r="E9" s="247"/>
      <c r="F9" s="247"/>
      <c r="G9" s="247"/>
      <c r="H9" s="248" t="s">
        <v>254</v>
      </c>
      <c r="I9" s="248"/>
      <c r="J9" s="248"/>
    </row>
    <row r="10" spans="2:13" x14ac:dyDescent="0.3">
      <c r="B10" s="243" t="s">
        <v>157</v>
      </c>
      <c r="C10" s="243"/>
      <c r="D10" s="243"/>
      <c r="E10" s="243" t="s">
        <v>158</v>
      </c>
      <c r="F10" s="243"/>
      <c r="G10" s="243"/>
      <c r="H10" s="243" t="s">
        <v>159</v>
      </c>
      <c r="I10" s="243"/>
      <c r="J10" s="243"/>
    </row>
  </sheetData>
  <sheetProtection selectLockedCells="1"/>
  <mergeCells count="15">
    <mergeCell ref="B3:D3"/>
    <mergeCell ref="E6:G6"/>
    <mergeCell ref="E4:G5"/>
    <mergeCell ref="H6:J6"/>
    <mergeCell ref="H4:J5"/>
    <mergeCell ref="K6:M6"/>
    <mergeCell ref="K4:M5"/>
    <mergeCell ref="B6:D6"/>
    <mergeCell ref="B4:D5"/>
    <mergeCell ref="B10:D10"/>
    <mergeCell ref="B8:D9"/>
    <mergeCell ref="E10:G10"/>
    <mergeCell ref="E8:G9"/>
    <mergeCell ref="H10:J10"/>
    <mergeCell ref="H9:J9"/>
  </mergeCells>
  <pageMargins left="0.7" right="0.7" top="0.75" bottom="0.75" header="0.3" footer="0.3"/>
  <pageSetup scale="68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ACDF-9704-4AA8-826E-7F03253FA8FD}">
  <dimension ref="B2:Q67"/>
  <sheetViews>
    <sheetView showGridLines="0" tabSelected="1" zoomScale="80" zoomScaleNormal="80" workbookViewId="0">
      <selection activeCell="F23" sqref="F23"/>
    </sheetView>
  </sheetViews>
  <sheetFormatPr defaultRowHeight="14.4" x14ac:dyDescent="0.3"/>
  <cols>
    <col min="4" max="4" width="32.5546875" customWidth="1"/>
    <col min="5" max="5" width="16.44140625" bestFit="1" customWidth="1"/>
    <col min="6" max="6" width="15.33203125" customWidth="1"/>
    <col min="7" max="7" width="12.88671875" customWidth="1"/>
    <col min="8" max="8" width="12.33203125" bestFit="1" customWidth="1"/>
    <col min="9" max="14" width="12.5546875" bestFit="1" customWidth="1"/>
  </cols>
  <sheetData>
    <row r="2" spans="2:14" ht="21" customHeight="1" x14ac:dyDescent="0.5">
      <c r="B2" s="147" t="s">
        <v>253</v>
      </c>
      <c r="C2" s="7"/>
      <c r="D2" s="7"/>
    </row>
    <row r="3" spans="2:14" ht="18" x14ac:dyDescent="0.35">
      <c r="B3" s="6" t="str">
        <f>'Dashboard Control'!B3</f>
        <v>Lake Bluff Campground</v>
      </c>
      <c r="C3" s="6"/>
      <c r="D3" s="6"/>
    </row>
    <row r="5" spans="2:14" x14ac:dyDescent="0.3"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2:14" x14ac:dyDescent="0.3">
      <c r="E6" s="36" t="s">
        <v>1</v>
      </c>
      <c r="F6" s="36" t="s">
        <v>2</v>
      </c>
      <c r="G6" s="36" t="s">
        <v>3</v>
      </c>
      <c r="H6" s="78" t="s">
        <v>4</v>
      </c>
      <c r="I6" s="78" t="s">
        <v>5</v>
      </c>
      <c r="J6" s="78" t="s">
        <v>6</v>
      </c>
      <c r="K6" s="78" t="s">
        <v>7</v>
      </c>
      <c r="L6" s="78" t="s">
        <v>8</v>
      </c>
      <c r="M6" s="78" t="s">
        <v>9</v>
      </c>
      <c r="N6" s="78" t="s">
        <v>10</v>
      </c>
    </row>
    <row r="7" spans="2:14" x14ac:dyDescent="0.3"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4" x14ac:dyDescent="0.3">
      <c r="B8" s="265"/>
      <c r="C8" s="265"/>
      <c r="D8" s="265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2:14" x14ac:dyDescent="0.3">
      <c r="B9" s="263"/>
      <c r="C9" s="263"/>
      <c r="D9" s="263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x14ac:dyDescent="0.3">
      <c r="B10" s="256" t="s">
        <v>11</v>
      </c>
      <c r="C10" s="256"/>
      <c r="D10" s="256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x14ac:dyDescent="0.3">
      <c r="B11" s="259" t="str">
        <f>'Revenue Streams'!D96</f>
        <v>Total Seasonal Rent</v>
      </c>
      <c r="C11" s="259"/>
      <c r="D11" s="259"/>
      <c r="E11" s="42">
        <f>'Revenue Streams'!AA96</f>
        <v>211200</v>
      </c>
      <c r="F11" s="42">
        <f>'Revenue Streams'!AB96</f>
        <v>217536</v>
      </c>
      <c r="G11" s="42">
        <f>'Revenue Streams'!AC96</f>
        <v>224062.08000000025</v>
      </c>
      <c r="H11" s="42">
        <f>'Revenue Streams'!AD96</f>
        <v>230783.94240000023</v>
      </c>
      <c r="I11" s="42">
        <f>'Revenue Streams'!AE96</f>
        <v>237707.46067200031</v>
      </c>
      <c r="J11" s="42">
        <f>'Revenue Streams'!AF96</f>
        <v>244838.68449215969</v>
      </c>
      <c r="K11" s="42">
        <f>'Revenue Streams'!AG96</f>
        <v>252183.84502692442</v>
      </c>
      <c r="L11" s="42">
        <f>'Revenue Streams'!AH96</f>
        <v>259749.36037773191</v>
      </c>
      <c r="M11" s="42">
        <f>'Revenue Streams'!AI96</f>
        <v>267541.84118906508</v>
      </c>
      <c r="N11" s="42">
        <f>'Revenue Streams'!AJ96</f>
        <v>275568.09642473579</v>
      </c>
    </row>
    <row r="12" spans="2:14" x14ac:dyDescent="0.3">
      <c r="B12" s="264" t="str">
        <f>'Revenue Streams'!D101</f>
        <v>Total Transient &amp; Cabin Income</v>
      </c>
      <c r="C12" s="264"/>
      <c r="D12" s="264"/>
      <c r="E12" s="42">
        <f>'Revenue Streams'!AA101</f>
        <v>212989</v>
      </c>
      <c r="F12" s="42">
        <f>'Revenue Streams'!AB101</f>
        <v>255258.67</v>
      </c>
      <c r="G12" s="42">
        <f>'Revenue Streams'!AC101</f>
        <v>265759.23009999999</v>
      </c>
      <c r="H12" s="42">
        <f>'Revenue Streams'!AD101</f>
        <v>276660.09100300004</v>
      </c>
      <c r="I12" s="42">
        <f>'Revenue Streams'!AE101</f>
        <v>287975.82025309006</v>
      </c>
      <c r="J12" s="42">
        <f>'Revenue Streams'!AF101</f>
        <v>299721.49917628273</v>
      </c>
      <c r="K12" s="42">
        <f>'Revenue Streams'!AG101</f>
        <v>311912.74059663923</v>
      </c>
      <c r="L12" s="42">
        <f>'Revenue Streams'!AH101</f>
        <v>321270.12281453842</v>
      </c>
      <c r="M12" s="42">
        <f>'Revenue Streams'!AI101</f>
        <v>330908.22649897455</v>
      </c>
      <c r="N12" s="42">
        <f>'Revenue Streams'!AJ101</f>
        <v>340835.4732939438</v>
      </c>
    </row>
    <row r="13" spans="2:14" x14ac:dyDescent="0.3">
      <c r="B13" s="175" t="s">
        <v>246</v>
      </c>
      <c r="C13" s="177"/>
      <c r="D13" s="177"/>
      <c r="E13" s="42">
        <f>'Revenue Streams'!AA102</f>
        <v>164000</v>
      </c>
      <c r="F13" s="42">
        <f>'Revenue Streams'!AB102</f>
        <v>168920</v>
      </c>
      <c r="G13" s="42">
        <f>'Revenue Streams'!AC102</f>
        <v>173987.6</v>
      </c>
      <c r="H13" s="42">
        <f>'Revenue Streams'!AD102</f>
        <v>179207.228</v>
      </c>
      <c r="I13" s="42">
        <f>'Revenue Streams'!AE102</f>
        <v>184583.44484000001</v>
      </c>
      <c r="J13" s="42">
        <f>'Revenue Streams'!AF102</f>
        <v>190120.94818520002</v>
      </c>
      <c r="K13" s="42">
        <f>'Revenue Streams'!AG102</f>
        <v>195824.57663075603</v>
      </c>
      <c r="L13" s="42">
        <f>'Revenue Streams'!AH102</f>
        <v>201699.3139296787</v>
      </c>
      <c r="M13" s="42">
        <f>'Revenue Streams'!AI102</f>
        <v>207750.29334756907</v>
      </c>
      <c r="N13" s="42">
        <f>'Revenue Streams'!AJ102</f>
        <v>213982.80214799615</v>
      </c>
    </row>
    <row r="14" spans="2:14" x14ac:dyDescent="0.3">
      <c r="B14" s="259" t="str">
        <f>'Revenue Streams'!D107</f>
        <v>Total Other Income</v>
      </c>
      <c r="C14" s="259"/>
      <c r="D14" s="259"/>
      <c r="E14" s="42">
        <f>'Revenue Streams'!AA107</f>
        <v>61400</v>
      </c>
      <c r="F14" s="42">
        <f>'Revenue Streams'!AB107</f>
        <v>62042</v>
      </c>
      <c r="G14" s="42">
        <f>'Revenue Streams'!AC107</f>
        <v>62703.26</v>
      </c>
      <c r="H14" s="42">
        <f>'Revenue Streams'!AD107</f>
        <v>63384.357799999998</v>
      </c>
      <c r="I14" s="42">
        <f>'Revenue Streams'!AE107</f>
        <v>64085.888533999998</v>
      </c>
      <c r="J14" s="42">
        <f>'Revenue Streams'!AF107</f>
        <v>64808.465190020004</v>
      </c>
      <c r="K14" s="42">
        <f>'Revenue Streams'!AG107</f>
        <v>65552.719145720606</v>
      </c>
      <c r="L14" s="42">
        <f>'Revenue Streams'!AH107</f>
        <v>66319.300720092229</v>
      </c>
      <c r="M14" s="42">
        <f>'Revenue Streams'!AI107</f>
        <v>67108.879741694996</v>
      </c>
      <c r="N14" s="42">
        <f>'Revenue Streams'!AJ107</f>
        <v>67922.146133945847</v>
      </c>
    </row>
    <row r="15" spans="2:14" x14ac:dyDescent="0.3">
      <c r="B15" s="174" t="str">
        <f>'Revenue Streams'!C110</f>
        <v>Cost of Goods Sold</v>
      </c>
      <c r="C15" s="176"/>
      <c r="D15" s="176"/>
      <c r="E15" s="32">
        <f>-'Revenue Streams'!AA110</f>
        <v>-103856</v>
      </c>
      <c r="F15" s="32">
        <f>-'Revenue Streams'!AB110</f>
        <v>-105933.12</v>
      </c>
      <c r="G15" s="32">
        <f>-'Revenue Streams'!AC110</f>
        <v>-108051.7824</v>
      </c>
      <c r="H15" s="32">
        <f>-'Revenue Streams'!AD110</f>
        <v>-110212.818048</v>
      </c>
      <c r="I15" s="32">
        <f>-'Revenue Streams'!AE110</f>
        <v>-112417.07440896</v>
      </c>
      <c r="J15" s="32">
        <f>-'Revenue Streams'!AF110</f>
        <v>-114665.4158971392</v>
      </c>
      <c r="K15" s="32">
        <f>-'Revenue Streams'!AG110</f>
        <v>-116958.72421508199</v>
      </c>
      <c r="L15" s="32">
        <f>-'Revenue Streams'!AH110</f>
        <v>-119297.89869938363</v>
      </c>
      <c r="M15" s="32">
        <f>-'Revenue Streams'!AI110</f>
        <v>-121683.85667337131</v>
      </c>
      <c r="N15" s="32">
        <f>-'Revenue Streams'!AJ110</f>
        <v>-124117.53380683874</v>
      </c>
    </row>
    <row r="16" spans="2:14" x14ac:dyDescent="0.3">
      <c r="B16" s="254" t="str">
        <f>'Revenue Streams'!B111</f>
        <v>Total Revenue</v>
      </c>
      <c r="C16" s="254"/>
      <c r="D16" s="254"/>
      <c r="E16" s="42">
        <f t="shared" ref="E16:N16" si="0">SUM(E11:E15)</f>
        <v>545733</v>
      </c>
      <c r="F16" s="42">
        <f t="shared" si="0"/>
        <v>597823.55000000005</v>
      </c>
      <c r="G16" s="42">
        <f t="shared" si="0"/>
        <v>618460.3877000002</v>
      </c>
      <c r="H16" s="42">
        <f t="shared" si="0"/>
        <v>639822.80115500023</v>
      </c>
      <c r="I16" s="42">
        <f t="shared" si="0"/>
        <v>661935.53989013052</v>
      </c>
      <c r="J16" s="42">
        <f t="shared" si="0"/>
        <v>684824.18114652322</v>
      </c>
      <c r="K16" s="42">
        <f t="shared" si="0"/>
        <v>708515.15718495823</v>
      </c>
      <c r="L16" s="42">
        <f t="shared" si="0"/>
        <v>729740.19914265769</v>
      </c>
      <c r="M16" s="42">
        <f t="shared" si="0"/>
        <v>751625.38410393242</v>
      </c>
      <c r="N16" s="42">
        <f t="shared" si="0"/>
        <v>774190.98419378279</v>
      </c>
    </row>
    <row r="17" spans="2:17" x14ac:dyDescent="0.3">
      <c r="B17" s="259"/>
      <c r="C17" s="259"/>
      <c r="D17" s="259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7" x14ac:dyDescent="0.3">
      <c r="B18" s="256" t="s">
        <v>12</v>
      </c>
      <c r="C18" s="256"/>
      <c r="D18" s="256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7" x14ac:dyDescent="0.3">
      <c r="B19" s="250" t="str">
        <f>'Dashboard Control'!F24</f>
        <v xml:space="preserve">Taxes &amp; License </v>
      </c>
      <c r="C19" s="250"/>
      <c r="D19" s="250"/>
      <c r="E19" s="42">
        <f>'Dashboard Control'!H24</f>
        <v>25000</v>
      </c>
      <c r="F19" s="13">
        <f>E19*(1+'Dashboard Control'!$H$37)</f>
        <v>25500</v>
      </c>
      <c r="G19" s="13">
        <f>F19*(1+'Dashboard Control'!$H$37)</f>
        <v>26010</v>
      </c>
      <c r="H19" s="13">
        <f>G19*(1+'Dashboard Control'!$H$37)</f>
        <v>26530.2</v>
      </c>
      <c r="I19" s="13">
        <f>H19*(1+'Dashboard Control'!$H$37)</f>
        <v>27060.804</v>
      </c>
      <c r="J19" s="13">
        <f>I19*(1+'Dashboard Control'!$H$37)</f>
        <v>27602.020080000002</v>
      </c>
      <c r="K19" s="13">
        <f>J19*(1+'Dashboard Control'!$H$37)</f>
        <v>28154.060481600001</v>
      </c>
      <c r="L19" s="13">
        <f>K19*(1+'Dashboard Control'!$H$37)</f>
        <v>28717.141691232002</v>
      </c>
      <c r="M19" s="13">
        <f>L19*(1+'Dashboard Control'!$H$37)</f>
        <v>29291.484525056643</v>
      </c>
      <c r="N19" s="13">
        <f>M19*(1+'Dashboard Control'!$H$37)</f>
        <v>29877.314215557777</v>
      </c>
    </row>
    <row r="20" spans="2:17" x14ac:dyDescent="0.3">
      <c r="B20" s="250" t="str">
        <f>'Dashboard Control'!F25</f>
        <v>Insurance</v>
      </c>
      <c r="C20" s="250"/>
      <c r="D20" s="250"/>
      <c r="E20" s="42">
        <f>'Dashboard Control'!H25</f>
        <v>20000</v>
      </c>
      <c r="F20" s="13">
        <f>E20*(1+'Dashboard Control'!$H$37)</f>
        <v>20400</v>
      </c>
      <c r="G20" s="13">
        <f>F20*(1+'Dashboard Control'!$H$37)</f>
        <v>20808</v>
      </c>
      <c r="H20" s="13">
        <f>G20*(1+'Dashboard Control'!$H$37)</f>
        <v>21224.16</v>
      </c>
      <c r="I20" s="13">
        <f>H20*(1+'Dashboard Control'!$H$37)</f>
        <v>21648.643199999999</v>
      </c>
      <c r="J20" s="13">
        <f>I20*(1+'Dashboard Control'!$H$37)</f>
        <v>22081.616063999998</v>
      </c>
      <c r="K20" s="13">
        <f>J20*(1+'Dashboard Control'!$H$37)</f>
        <v>22523.24838528</v>
      </c>
      <c r="L20" s="13">
        <f>K20*(1+'Dashboard Control'!$H$37)</f>
        <v>22973.7133529856</v>
      </c>
      <c r="M20" s="13">
        <f>L20*(1+'Dashboard Control'!$H$37)</f>
        <v>23433.187620045312</v>
      </c>
      <c r="N20" s="13">
        <f>M20*(1+'Dashboard Control'!$H$37)</f>
        <v>23901.851372446217</v>
      </c>
    </row>
    <row r="21" spans="2:17" x14ac:dyDescent="0.3">
      <c r="B21" s="250" t="str">
        <f>'Dashboard Control'!F26</f>
        <v>Salaries</v>
      </c>
      <c r="C21" s="250"/>
      <c r="D21" s="250"/>
      <c r="E21" s="42">
        <f>'Dashboard Control'!H26</f>
        <v>100000</v>
      </c>
      <c r="F21" s="13">
        <f>E21*(1+'Dashboard Control'!$H$37)</f>
        <v>102000</v>
      </c>
      <c r="G21" s="13">
        <f>F21*(1+'Dashboard Control'!$H$37)</f>
        <v>104040</v>
      </c>
      <c r="H21" s="13">
        <f>G21*(1+'Dashboard Control'!$H$37)</f>
        <v>106120.8</v>
      </c>
      <c r="I21" s="13">
        <f>H21*(1+'Dashboard Control'!$H$37)</f>
        <v>108243.216</v>
      </c>
      <c r="J21" s="13">
        <f>I21*(1+'Dashboard Control'!$H$37)</f>
        <v>110408.08032000001</v>
      </c>
      <c r="K21" s="13">
        <f>J21*(1+'Dashboard Control'!$H$37)</f>
        <v>112616.24192640001</v>
      </c>
      <c r="L21" s="13">
        <f>K21*(1+'Dashboard Control'!$H$37)</f>
        <v>114868.56676492801</v>
      </c>
      <c r="M21" s="13">
        <f>L21*(1+'Dashboard Control'!$H$37)</f>
        <v>117165.93810022657</v>
      </c>
      <c r="N21" s="13">
        <f>M21*(1+'Dashboard Control'!$H$37)</f>
        <v>119509.25686223111</v>
      </c>
    </row>
    <row r="22" spans="2:17" x14ac:dyDescent="0.3">
      <c r="B22" s="250" t="str">
        <f>'Dashboard Control'!F27</f>
        <v>General &amp; Administrative</v>
      </c>
      <c r="C22" s="250"/>
      <c r="D22" s="250"/>
      <c r="E22" s="42">
        <f>'Dashboard Control'!H27</f>
        <v>16000</v>
      </c>
      <c r="F22" s="13">
        <f>E22*(1+'Dashboard Control'!$H$37)</f>
        <v>16320</v>
      </c>
      <c r="G22" s="13">
        <f>F22*(1+'Dashboard Control'!$H$37)</f>
        <v>16646.400000000001</v>
      </c>
      <c r="H22" s="13">
        <f>G22*(1+'Dashboard Control'!$H$37)</f>
        <v>16979.328000000001</v>
      </c>
      <c r="I22" s="13">
        <f>H22*(1+'Dashboard Control'!$H$37)</f>
        <v>17318.914560000001</v>
      </c>
      <c r="J22" s="13">
        <f>I22*(1+'Dashboard Control'!$H$37)</f>
        <v>17665.2928512</v>
      </c>
      <c r="K22" s="13">
        <f>J22*(1+'Dashboard Control'!$H$37)</f>
        <v>18018.598708223999</v>
      </c>
      <c r="L22" s="13">
        <f>K22*(1+'Dashboard Control'!$H$37)</f>
        <v>18378.970682388481</v>
      </c>
      <c r="M22" s="13">
        <f>L22*(1+'Dashboard Control'!$H$37)</f>
        <v>18746.550096036251</v>
      </c>
      <c r="N22" s="13">
        <f>M22*(1+'Dashboard Control'!$H$37)</f>
        <v>19121.481097956977</v>
      </c>
    </row>
    <row r="23" spans="2:17" s="9" customFormat="1" x14ac:dyDescent="0.3">
      <c r="B23" s="261" t="str">
        <f>'Dashboard Control'!F28</f>
        <v>Water &amp; Sewer</v>
      </c>
      <c r="C23" s="261"/>
      <c r="D23" s="261"/>
      <c r="E23" s="122">
        <f>'Dashboard Control'!H28</f>
        <v>6000</v>
      </c>
      <c r="F23" s="33">
        <f>E23*(1+'Dashboard Control'!$H$37)</f>
        <v>6120</v>
      </c>
      <c r="G23" s="33">
        <f>F23*(1+'Dashboard Control'!$H$37)</f>
        <v>6242.4000000000005</v>
      </c>
      <c r="H23" s="33">
        <f>G23*(1+'Dashboard Control'!$H$37)</f>
        <v>6367.2480000000005</v>
      </c>
      <c r="I23" s="33">
        <f>H23*(1+'Dashboard Control'!$H$37)</f>
        <v>6494.5929600000009</v>
      </c>
      <c r="J23" s="33">
        <f>I23*(1+'Dashboard Control'!$H$37)</f>
        <v>6624.4848192000009</v>
      </c>
      <c r="K23" s="33">
        <f>J23*(1+'Dashboard Control'!$H$37)</f>
        <v>6756.974515584001</v>
      </c>
      <c r="L23" s="33">
        <f>K23*(1+'Dashboard Control'!$H$37)</f>
        <v>6892.1140058956807</v>
      </c>
      <c r="M23" s="33">
        <f>L23*(1+'Dashboard Control'!$H$37)</f>
        <v>7029.9562860135948</v>
      </c>
      <c r="N23" s="33">
        <f>M23*(1+'Dashboard Control'!$H$37)</f>
        <v>7170.555411733867</v>
      </c>
    </row>
    <row r="24" spans="2:17" x14ac:dyDescent="0.3">
      <c r="B24" s="250" t="str">
        <f>'Dashboard Control'!F29</f>
        <v>Landscaping &amp; Snow</v>
      </c>
      <c r="C24" s="250"/>
      <c r="D24" s="250"/>
      <c r="E24" s="42">
        <f>'Dashboard Control'!H29</f>
        <v>1887</v>
      </c>
      <c r="F24" s="13">
        <f>E24*(1+'Dashboard Control'!$H$37)</f>
        <v>1924.74</v>
      </c>
      <c r="G24" s="13">
        <f>F24*(1+'Dashboard Control'!$H$37)</f>
        <v>1963.2348</v>
      </c>
      <c r="H24" s="13">
        <f>G24*(1+'Dashboard Control'!$H$37)</f>
        <v>2002.4994959999999</v>
      </c>
      <c r="I24" s="13">
        <f>H24*(1+'Dashboard Control'!$H$37)</f>
        <v>2042.5494859200001</v>
      </c>
      <c r="J24" s="13">
        <f>I24*(1+'Dashboard Control'!$H$37)</f>
        <v>2083.4004756384002</v>
      </c>
      <c r="K24" s="13">
        <f>J24*(1+'Dashboard Control'!$H$37)</f>
        <v>2125.0684851511683</v>
      </c>
      <c r="L24" s="13">
        <f>K24*(1+'Dashboard Control'!$H$37)</f>
        <v>2167.5698548541918</v>
      </c>
      <c r="M24" s="13">
        <f>L24*(1+'Dashboard Control'!$H$37)</f>
        <v>2210.9212519512757</v>
      </c>
      <c r="N24" s="13">
        <f>M24*(1+'Dashboard Control'!$H$37)</f>
        <v>2255.1396769903013</v>
      </c>
    </row>
    <row r="25" spans="2:17" x14ac:dyDescent="0.3">
      <c r="B25" s="250" t="str">
        <f>'Dashboard Control'!F30</f>
        <v>Trash</v>
      </c>
      <c r="C25" s="250"/>
      <c r="D25" s="250"/>
      <c r="E25" s="42">
        <f>'Dashboard Control'!H30</f>
        <v>3000</v>
      </c>
      <c r="F25" s="13">
        <f>E25*(1+'Dashboard Control'!$H$37)</f>
        <v>3060</v>
      </c>
      <c r="G25" s="13">
        <f>F25*(1+'Dashboard Control'!$H$37)</f>
        <v>3121.2000000000003</v>
      </c>
      <c r="H25" s="13">
        <f>G25*(1+'Dashboard Control'!$H$37)</f>
        <v>3183.6240000000003</v>
      </c>
      <c r="I25" s="13">
        <f>H25*(1+'Dashboard Control'!$H$37)</f>
        <v>3247.2964800000004</v>
      </c>
      <c r="J25" s="13">
        <f>I25*(1+'Dashboard Control'!$H$37)</f>
        <v>3312.2424096000004</v>
      </c>
      <c r="K25" s="13">
        <f>J25*(1+'Dashboard Control'!$H$37)</f>
        <v>3378.4872577920005</v>
      </c>
      <c r="L25" s="13">
        <f>K25*(1+'Dashboard Control'!$H$37)</f>
        <v>3446.0570029478404</v>
      </c>
      <c r="M25" s="13">
        <f>L25*(1+'Dashboard Control'!$H$37)</f>
        <v>3514.9781430067974</v>
      </c>
      <c r="N25" s="13">
        <f>M25*(1+'Dashboard Control'!$H$37)</f>
        <v>3585.2777058669335</v>
      </c>
    </row>
    <row r="26" spans="2:17" x14ac:dyDescent="0.3">
      <c r="B26" s="250" t="str">
        <f>'Dashboard Control'!F31</f>
        <v>Electric &amp; Gas</v>
      </c>
      <c r="C26" s="250"/>
      <c r="D26" s="250"/>
      <c r="E26" s="42">
        <f>'Dashboard Control'!H31</f>
        <v>40000</v>
      </c>
      <c r="F26" s="13">
        <f>E26*(1+'Dashboard Control'!$H$37)</f>
        <v>40800</v>
      </c>
      <c r="G26" s="13">
        <f>F26*(1+'Dashboard Control'!$H$37)</f>
        <v>41616</v>
      </c>
      <c r="H26" s="13">
        <f>G26*(1+'Dashboard Control'!$H$37)</f>
        <v>42448.32</v>
      </c>
      <c r="I26" s="13">
        <f>H26*(1+'Dashboard Control'!$H$37)</f>
        <v>43297.286399999997</v>
      </c>
      <c r="J26" s="13">
        <f>I26*(1+'Dashboard Control'!$H$37)</f>
        <v>44163.232127999996</v>
      </c>
      <c r="K26" s="13">
        <f>J26*(1+'Dashboard Control'!$H$37)</f>
        <v>45046.496770559999</v>
      </c>
      <c r="L26" s="13">
        <f>K26*(1+'Dashboard Control'!$H$37)</f>
        <v>45947.4267059712</v>
      </c>
      <c r="M26" s="13">
        <f>L26*(1+'Dashboard Control'!$H$37)</f>
        <v>46866.375240090623</v>
      </c>
      <c r="N26" s="13">
        <f>M26*(1+'Dashboard Control'!$H$37)</f>
        <v>47803.702744892435</v>
      </c>
    </row>
    <row r="27" spans="2:17" x14ac:dyDescent="0.3">
      <c r="B27" s="250" t="str">
        <f>'Dashboard Control'!F32</f>
        <v>Advertising</v>
      </c>
      <c r="C27" s="250"/>
      <c r="D27" s="250"/>
      <c r="E27" s="42">
        <f>'Dashboard Control'!H32</f>
        <v>2000</v>
      </c>
      <c r="F27" s="13">
        <f>E27*(1+'Dashboard Control'!$H$37)</f>
        <v>2040</v>
      </c>
      <c r="G27" s="13">
        <f>F27*(1+'Dashboard Control'!$H$37)</f>
        <v>2080.8000000000002</v>
      </c>
      <c r="H27" s="13">
        <f>G27*(1+'Dashboard Control'!$H$37)</f>
        <v>2122.4160000000002</v>
      </c>
      <c r="I27" s="13">
        <f>H27*(1+'Dashboard Control'!$H$37)</f>
        <v>2164.8643200000001</v>
      </c>
      <c r="J27" s="13">
        <f>I27*(1+'Dashboard Control'!$H$37)</f>
        <v>2208.1616064</v>
      </c>
      <c r="K27" s="13">
        <f>J27*(1+'Dashboard Control'!$H$37)</f>
        <v>2252.3248385279999</v>
      </c>
      <c r="L27" s="13">
        <f>K27*(1+'Dashboard Control'!$H$37)</f>
        <v>2297.3713352985601</v>
      </c>
      <c r="M27" s="13">
        <f>L27*(1+'Dashboard Control'!$H$37)</f>
        <v>2343.3187620045314</v>
      </c>
      <c r="N27" s="13">
        <f>M27*(1+'Dashboard Control'!$H$37)</f>
        <v>2390.1851372446222</v>
      </c>
    </row>
    <row r="28" spans="2:17" x14ac:dyDescent="0.3">
      <c r="B28" s="250" t="str">
        <f>'Dashboard Control'!F33</f>
        <v>Property Management Rate</v>
      </c>
      <c r="C28" s="250"/>
      <c r="D28" s="250"/>
      <c r="E28" s="42">
        <f>'Dashboard Control'!$G$33*'Cash Flow 10 Yr'!E16</f>
        <v>38201.310000000005</v>
      </c>
      <c r="F28" s="42">
        <f>'Dashboard Control'!$G$33*'Cash Flow 10 Yr'!F16</f>
        <v>41847.64850000001</v>
      </c>
      <c r="G28" s="42">
        <f>'Dashboard Control'!$G$33*'Cash Flow 10 Yr'!G16</f>
        <v>43292.227139000017</v>
      </c>
      <c r="H28" s="42">
        <f>'Dashboard Control'!$G$33*'Cash Flow 10 Yr'!H16</f>
        <v>44787.596080850017</v>
      </c>
      <c r="I28" s="42">
        <f>'Dashboard Control'!$G$33*'Cash Flow 10 Yr'!I16</f>
        <v>46335.487792309141</v>
      </c>
      <c r="J28" s="42">
        <f>'Dashboard Control'!$G$33*'Cash Flow 10 Yr'!J16</f>
        <v>47937.69268025663</v>
      </c>
      <c r="K28" s="42">
        <f>'Dashboard Control'!$G$33*'Cash Flow 10 Yr'!K16</f>
        <v>49596.061002947077</v>
      </c>
      <c r="L28" s="42">
        <f>'Dashboard Control'!$G$33*'Cash Flow 10 Yr'!L16</f>
        <v>51081.813939986045</v>
      </c>
      <c r="M28" s="42">
        <f>'Dashboard Control'!$G$33*'Cash Flow 10 Yr'!M16</f>
        <v>52613.776887275271</v>
      </c>
      <c r="N28" s="42">
        <f>'Dashboard Control'!$G$33*'Cash Flow 10 Yr'!N16</f>
        <v>54193.368893564802</v>
      </c>
    </row>
    <row r="29" spans="2:17" x14ac:dyDescent="0.3">
      <c r="B29" s="250" t="str">
        <f>'Dashboard Control'!F34</f>
        <v>Asset Management Fee</v>
      </c>
      <c r="C29" s="250"/>
      <c r="D29" s="250"/>
      <c r="E29" s="42">
        <f>'Dashboard Control'!$G$34*'Cash Flow 10 Yr'!E16</f>
        <v>5457.33</v>
      </c>
      <c r="F29" s="42">
        <f>'Dashboard Control'!$G$34*'Cash Flow 10 Yr'!F16</f>
        <v>5978.2355000000007</v>
      </c>
      <c r="G29" s="42">
        <f>'Dashboard Control'!$G$34*'Cash Flow 10 Yr'!G16</f>
        <v>6184.6038770000023</v>
      </c>
      <c r="H29" s="42">
        <f>'Dashboard Control'!$G$34*'Cash Flow 10 Yr'!H16</f>
        <v>6398.2280115500025</v>
      </c>
      <c r="I29" s="42">
        <f>'Dashboard Control'!$G$34*'Cash Flow 10 Yr'!I16</f>
        <v>6619.3553989013053</v>
      </c>
      <c r="J29" s="42">
        <f>'Dashboard Control'!$G$34*'Cash Flow 10 Yr'!J16</f>
        <v>6848.2418114652319</v>
      </c>
      <c r="K29" s="42">
        <f>'Dashboard Control'!$G$34*'Cash Flow 10 Yr'!K16</f>
        <v>7085.1515718495821</v>
      </c>
      <c r="L29" s="42">
        <f>'Dashboard Control'!$G$34*'Cash Flow 10 Yr'!L16</f>
        <v>7297.4019914265773</v>
      </c>
      <c r="M29" s="42">
        <f>'Dashboard Control'!$G$34*'Cash Flow 10 Yr'!M16</f>
        <v>7516.2538410393245</v>
      </c>
      <c r="N29" s="42">
        <f>'Dashboard Control'!$G$34*'Cash Flow 10 Yr'!N16</f>
        <v>7741.9098419378279</v>
      </c>
    </row>
    <row r="30" spans="2:17" x14ac:dyDescent="0.3">
      <c r="B30" s="250" t="str">
        <f>'Dashboard Control'!F35</f>
        <v>Repair &amp; Maintenance</v>
      </c>
      <c r="C30" s="250"/>
      <c r="D30" s="250"/>
      <c r="E30" s="42">
        <f>'Dashboard Control'!$G$35*'Cash Flow 10 Yr'!E16</f>
        <v>27286.65</v>
      </c>
      <c r="F30" s="42">
        <f>'Dashboard Control'!$G$35*'Cash Flow 10 Yr'!F16</f>
        <v>29891.177500000005</v>
      </c>
      <c r="G30" s="42">
        <f>'Dashboard Control'!$G$35*'Cash Flow 10 Yr'!G16</f>
        <v>30923.019385000011</v>
      </c>
      <c r="H30" s="42">
        <f>'Dashboard Control'!$G$35*'Cash Flow 10 Yr'!H16</f>
        <v>31991.140057750014</v>
      </c>
      <c r="I30" s="42">
        <f>'Dashboard Control'!$G$35*'Cash Flow 10 Yr'!I16</f>
        <v>33096.77699450653</v>
      </c>
      <c r="J30" s="42">
        <f>'Dashboard Control'!$G$35*'Cash Flow 10 Yr'!J16</f>
        <v>34241.209057326159</v>
      </c>
      <c r="K30" s="42">
        <f>'Dashboard Control'!$G$35*'Cash Flow 10 Yr'!K16</f>
        <v>35425.757859247911</v>
      </c>
      <c r="L30" s="42">
        <f>'Dashboard Control'!$G$35*'Cash Flow 10 Yr'!L16</f>
        <v>36487.009957132883</v>
      </c>
      <c r="M30" s="42">
        <f>'Dashboard Control'!$G$35*'Cash Flow 10 Yr'!M16</f>
        <v>37581.269205196622</v>
      </c>
      <c r="N30" s="42">
        <f>'Dashboard Control'!$G$35*'Cash Flow 10 Yr'!N16</f>
        <v>38709.549209689139</v>
      </c>
    </row>
    <row r="31" spans="2:17" x14ac:dyDescent="0.3">
      <c r="B31" s="255" t="str">
        <f>'Dashboard Control'!F36</f>
        <v>Legal &amp; Accounting</v>
      </c>
      <c r="C31" s="255"/>
      <c r="D31" s="255"/>
      <c r="E31" s="32">
        <f>'Dashboard Control'!H36</f>
        <v>5000</v>
      </c>
      <c r="F31" s="32">
        <f>E31*(1+'Dashboard Control'!$H$37)</f>
        <v>5100</v>
      </c>
      <c r="G31" s="32">
        <f>F31*(1+'Dashboard Control'!$H$37)</f>
        <v>5202</v>
      </c>
      <c r="H31" s="32">
        <f>G31*(1+'Dashboard Control'!$H$37)</f>
        <v>5306.04</v>
      </c>
      <c r="I31" s="32">
        <f>H31*(1+'Dashboard Control'!$H$37)</f>
        <v>5412.1607999999997</v>
      </c>
      <c r="J31" s="32">
        <f>I31*(1+'Dashboard Control'!$H$37)</f>
        <v>5520.4040159999995</v>
      </c>
      <c r="K31" s="32">
        <f>J31*(1+'Dashboard Control'!$H$37)</f>
        <v>5630.8120963199999</v>
      </c>
      <c r="L31" s="32">
        <f>K31*(1+'Dashboard Control'!$H$37)</f>
        <v>5743.4283382464</v>
      </c>
      <c r="M31" s="32">
        <f>L31*(1+'Dashboard Control'!$H$37)</f>
        <v>5858.2969050113279</v>
      </c>
      <c r="N31" s="32">
        <f>M31*(1+'Dashboard Control'!$H$37)</f>
        <v>5975.4628431115543</v>
      </c>
      <c r="O31" s="8"/>
      <c r="P31" s="8"/>
      <c r="Q31" s="8"/>
    </row>
    <row r="32" spans="2:17" x14ac:dyDescent="0.3">
      <c r="B32" s="254" t="s">
        <v>13</v>
      </c>
      <c r="C32" s="254"/>
      <c r="D32" s="254"/>
      <c r="E32" s="13">
        <f t="shared" ref="E32:N32" si="1">SUM(E19:E31)</f>
        <v>289832.28999999998</v>
      </c>
      <c r="F32" s="13">
        <f t="shared" si="1"/>
        <v>300981.8015</v>
      </c>
      <c r="G32" s="13">
        <f t="shared" si="1"/>
        <v>308129.88520099997</v>
      </c>
      <c r="H32" s="13">
        <f t="shared" si="1"/>
        <v>315461.59964614996</v>
      </c>
      <c r="I32" s="13">
        <f t="shared" si="1"/>
        <v>322981.94839163701</v>
      </c>
      <c r="J32" s="13">
        <f t="shared" si="1"/>
        <v>330696.0783190864</v>
      </c>
      <c r="K32" s="13">
        <f t="shared" si="1"/>
        <v>338609.28389948374</v>
      </c>
      <c r="L32" s="13">
        <f t="shared" si="1"/>
        <v>346298.58562329347</v>
      </c>
      <c r="M32" s="13">
        <f t="shared" si="1"/>
        <v>354172.30686295417</v>
      </c>
      <c r="N32" s="13">
        <f t="shared" si="1"/>
        <v>362235.05501322355</v>
      </c>
    </row>
    <row r="33" spans="2:15" x14ac:dyDescent="0.3">
      <c r="B33" s="259"/>
      <c r="C33" s="259"/>
      <c r="D33" s="259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5" x14ac:dyDescent="0.3">
      <c r="B34" s="257" t="s">
        <v>14</v>
      </c>
      <c r="C34" s="257"/>
      <c r="D34" s="257"/>
      <c r="E34" s="29">
        <f t="shared" ref="E34:N34" si="2">E16-E32</f>
        <v>255900.71000000002</v>
      </c>
      <c r="F34" s="29">
        <f t="shared" si="2"/>
        <v>296841.74850000005</v>
      </c>
      <c r="G34" s="29">
        <f t="shared" si="2"/>
        <v>310330.50249900023</v>
      </c>
      <c r="H34" s="29">
        <f t="shared" si="2"/>
        <v>324361.20150885027</v>
      </c>
      <c r="I34" s="29">
        <f t="shared" si="2"/>
        <v>338953.59149849351</v>
      </c>
      <c r="J34" s="29">
        <f t="shared" si="2"/>
        <v>354128.10282743681</v>
      </c>
      <c r="K34" s="29">
        <f t="shared" si="2"/>
        <v>369905.87328547449</v>
      </c>
      <c r="L34" s="29">
        <f t="shared" si="2"/>
        <v>383441.61351936421</v>
      </c>
      <c r="M34" s="29">
        <f t="shared" si="2"/>
        <v>397453.07724097825</v>
      </c>
      <c r="N34" s="29">
        <f t="shared" si="2"/>
        <v>411955.92918055924</v>
      </c>
    </row>
    <row r="35" spans="2:15" x14ac:dyDescent="0.3">
      <c r="B35" s="259"/>
      <c r="C35" s="259"/>
      <c r="D35" s="259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5" x14ac:dyDescent="0.3">
      <c r="B36" s="256" t="s">
        <v>15</v>
      </c>
      <c r="C36" s="256"/>
      <c r="D36" s="256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5" x14ac:dyDescent="0.3">
      <c r="B37" s="259" t="s">
        <v>16</v>
      </c>
      <c r="C37" s="259"/>
      <c r="D37" s="259"/>
      <c r="E37" s="47">
        <f>Amorization!P23</f>
        <v>-57150.965037294962</v>
      </c>
      <c r="F37" s="47">
        <f>Amorization!P35</f>
        <v>-59479.383532269312</v>
      </c>
      <c r="G37" s="47">
        <f>Amorization!P47</f>
        <v>-61902.665389291884</v>
      </c>
      <c r="H37" s="47">
        <f>Amorization!P59</f>
        <v>-64424.675488099099</v>
      </c>
      <c r="I37" s="47">
        <f>Amorization!P71</f>
        <v>-67049.436169591019</v>
      </c>
      <c r="J37" s="47">
        <f>Amorization!P83</f>
        <v>-69781.13365104211</v>
      </c>
      <c r="K37" s="47">
        <f>Amorization!P95</f>
        <v>-72624.124702677625</v>
      </c>
      <c r="L37" s="47">
        <f>Amorization!P107</f>
        <v>-75582.943596263896</v>
      </c>
      <c r="M37" s="47">
        <f>Amorization!P119</f>
        <v>-78662.309336795137</v>
      </c>
      <c r="N37" s="142">
        <f>Amorization!P131</f>
        <v>-81867.133188809938</v>
      </c>
      <c r="O37" s="4"/>
    </row>
    <row r="38" spans="2:15" x14ac:dyDescent="0.3">
      <c r="B38" s="259" t="s">
        <v>17</v>
      </c>
      <c r="C38" s="259"/>
      <c r="D38" s="259"/>
      <c r="E38" s="48">
        <f>Amorization!O23</f>
        <v>-67559.786732525405</v>
      </c>
      <c r="F38" s="48">
        <f>Amorization!O35</f>
        <v>-65231.368237551054</v>
      </c>
      <c r="G38" s="48">
        <f>Amorization!O47</f>
        <v>-62808.086380528475</v>
      </c>
      <c r="H38" s="48">
        <f>Amorization!O59</f>
        <v>-60286.07628172126</v>
      </c>
      <c r="I38" s="48">
        <f>Amorization!O71</f>
        <v>-57661.31560022934</v>
      </c>
      <c r="J38" s="48">
        <f>Amorization!O83</f>
        <v>-54929.618118778249</v>
      </c>
      <c r="K38" s="48">
        <f>Amorization!O95</f>
        <v>-52086.627067142756</v>
      </c>
      <c r="L38" s="48">
        <f>Amorization!O107</f>
        <v>-49127.808173556463</v>
      </c>
      <c r="M38" s="48">
        <f>Amorization!O119</f>
        <v>-46048.442433025222</v>
      </c>
      <c r="N38" s="143">
        <f>Amorization!O131</f>
        <v>-42843.618581010422</v>
      </c>
      <c r="O38" s="4"/>
    </row>
    <row r="39" spans="2:15" x14ac:dyDescent="0.3">
      <c r="B39" s="260" t="s">
        <v>18</v>
      </c>
      <c r="C39" s="260"/>
      <c r="D39" s="260"/>
      <c r="E39" s="14">
        <f>SUM(E37:E38)</f>
        <v>-124710.75176982037</v>
      </c>
      <c r="F39" s="14">
        <f t="shared" ref="F39:N39" si="3">SUM(F37:F38)</f>
        <v>-124710.75176982037</v>
      </c>
      <c r="G39" s="14">
        <f t="shared" si="3"/>
        <v>-124710.75176982036</v>
      </c>
      <c r="H39" s="14">
        <f t="shared" si="3"/>
        <v>-124710.75176982036</v>
      </c>
      <c r="I39" s="14">
        <f t="shared" si="3"/>
        <v>-124710.75176982036</v>
      </c>
      <c r="J39" s="14">
        <f t="shared" si="3"/>
        <v>-124710.75176982036</v>
      </c>
      <c r="K39" s="14">
        <f t="shared" si="3"/>
        <v>-124710.75176982037</v>
      </c>
      <c r="L39" s="14">
        <f t="shared" si="3"/>
        <v>-124710.75176982036</v>
      </c>
      <c r="M39" s="14">
        <f t="shared" si="3"/>
        <v>-124710.75176982036</v>
      </c>
      <c r="N39" s="42">
        <f t="shared" si="3"/>
        <v>-124710.75176982036</v>
      </c>
      <c r="O39" s="4"/>
    </row>
    <row r="40" spans="2:15" x14ac:dyDescent="0.3">
      <c r="B40" s="259"/>
      <c r="C40" s="259"/>
      <c r="D40" s="259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5" x14ac:dyDescent="0.3">
      <c r="B41" s="257" t="s">
        <v>19</v>
      </c>
      <c r="C41" s="257"/>
      <c r="D41" s="257"/>
      <c r="E41" s="145">
        <f>SUM(E34,E39)</f>
        <v>131189.95823017965</v>
      </c>
      <c r="F41" s="145">
        <f t="shared" ref="F41:N41" si="4">SUM(F34,F39)</f>
        <v>172130.99673017967</v>
      </c>
      <c r="G41" s="145">
        <f t="shared" si="4"/>
        <v>185619.75072917988</v>
      </c>
      <c r="H41" s="145">
        <f t="shared" si="4"/>
        <v>199650.44973902992</v>
      </c>
      <c r="I41" s="145">
        <f t="shared" si="4"/>
        <v>214242.83972867316</v>
      </c>
      <c r="J41" s="145">
        <f t="shared" si="4"/>
        <v>229417.35105761647</v>
      </c>
      <c r="K41" s="145">
        <f t="shared" si="4"/>
        <v>245195.12151565411</v>
      </c>
      <c r="L41" s="145">
        <f t="shared" si="4"/>
        <v>258730.86174954387</v>
      </c>
      <c r="M41" s="145">
        <f t="shared" si="4"/>
        <v>272742.32547115791</v>
      </c>
      <c r="N41" s="145">
        <f t="shared" si="4"/>
        <v>287245.17741073889</v>
      </c>
    </row>
    <row r="42" spans="2:15" ht="15" thickBot="1" x14ac:dyDescent="0.35">
      <c r="B42" s="258"/>
      <c r="C42" s="258"/>
      <c r="D42" s="258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5" x14ac:dyDescent="0.3">
      <c r="B43" s="251"/>
      <c r="C43" s="251"/>
      <c r="D43" s="251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5" x14ac:dyDescent="0.3">
      <c r="B44" s="252" t="s">
        <v>20</v>
      </c>
      <c r="C44" s="252"/>
      <c r="D44" s="252"/>
      <c r="E44" s="13">
        <f>+E41</f>
        <v>131189.95823017965</v>
      </c>
      <c r="F44" s="13">
        <f t="shared" ref="F44:N44" si="5">E44+F41</f>
        <v>303320.95496035932</v>
      </c>
      <c r="G44" s="13">
        <f t="shared" si="5"/>
        <v>488940.7056895392</v>
      </c>
      <c r="H44" s="13">
        <f t="shared" si="5"/>
        <v>688591.15542856907</v>
      </c>
      <c r="I44" s="13">
        <f t="shared" si="5"/>
        <v>902833.99515724229</v>
      </c>
      <c r="J44" s="13">
        <f t="shared" si="5"/>
        <v>1132251.3462148588</v>
      </c>
      <c r="K44" s="13">
        <f t="shared" si="5"/>
        <v>1377446.4677305128</v>
      </c>
      <c r="L44" s="13">
        <f t="shared" si="5"/>
        <v>1636177.3294800567</v>
      </c>
      <c r="M44" s="13">
        <f t="shared" si="5"/>
        <v>1908919.6549512146</v>
      </c>
      <c r="N44" s="13">
        <f t="shared" si="5"/>
        <v>2196164.8323619533</v>
      </c>
    </row>
    <row r="45" spans="2:15" x14ac:dyDescent="0.3">
      <c r="B45" s="69"/>
      <c r="C45" s="69"/>
      <c r="D45" s="69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5" x14ac:dyDescent="0.3">
      <c r="B46" s="250" t="s">
        <v>21</v>
      </c>
      <c r="C46" s="250"/>
      <c r="D46" s="250"/>
      <c r="E46" s="42">
        <f>'Dashboard Control'!$N$41*0.08</f>
        <v>78660</v>
      </c>
      <c r="F46" s="42">
        <f>'Dashboard Control'!$N$41*0.08</f>
        <v>78660</v>
      </c>
      <c r="G46" s="42">
        <f>'Dashboard Control'!$N$41*0.08</f>
        <v>78660</v>
      </c>
      <c r="H46" s="42">
        <f>'Dashboard Control'!$N$41*0.08</f>
        <v>78660</v>
      </c>
      <c r="I46" s="42">
        <f>'Dashboard Control'!$N$41*0.08</f>
        <v>78660</v>
      </c>
      <c r="J46" s="42">
        <f>'Dashboard Control'!$N$41*0.08</f>
        <v>78660</v>
      </c>
      <c r="K46" s="42">
        <f>'Dashboard Control'!$N$41*0.08</f>
        <v>78660</v>
      </c>
      <c r="L46" s="42">
        <f>'Dashboard Control'!$N$41*0.08</f>
        <v>78660</v>
      </c>
      <c r="M46" s="42">
        <f>'Dashboard Control'!$N$41*0.08</f>
        <v>78660</v>
      </c>
      <c r="N46" s="42">
        <f>'Dashboard Control'!$N$41*0.08</f>
        <v>78660</v>
      </c>
      <c r="O46" s="4"/>
    </row>
    <row r="47" spans="2:15" x14ac:dyDescent="0.3">
      <c r="B47" s="250" t="s">
        <v>23</v>
      </c>
      <c r="C47" s="250"/>
      <c r="D47" s="250"/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"/>
    </row>
    <row r="48" spans="2:15" x14ac:dyDescent="0.3">
      <c r="B48" s="255" t="s">
        <v>24</v>
      </c>
      <c r="C48" s="255"/>
      <c r="D48" s="255"/>
      <c r="E48" s="32">
        <f>'Dashboard Control'!$N$18-E47</f>
        <v>983250</v>
      </c>
      <c r="F48" s="42">
        <f>'Dashboard Control'!$N$18-F47</f>
        <v>983250</v>
      </c>
      <c r="G48" s="42">
        <f>'Dashboard Control'!$N$18-G47</f>
        <v>983250</v>
      </c>
      <c r="H48" s="42">
        <f>'Dashboard Control'!$N$18-H47</f>
        <v>983250</v>
      </c>
      <c r="I48" s="42">
        <f>'Dashboard Control'!$N$18-I47</f>
        <v>983250</v>
      </c>
      <c r="J48" s="42">
        <f>'Dashboard Control'!$N$18-J47</f>
        <v>983250</v>
      </c>
      <c r="K48" s="42">
        <f>'Dashboard Control'!$N$18-K47</f>
        <v>983250</v>
      </c>
      <c r="L48" s="42">
        <f>'Dashboard Control'!$N$18-L47</f>
        <v>983250</v>
      </c>
      <c r="M48" s="42">
        <f>'Dashboard Control'!$N$18-M47</f>
        <v>983250</v>
      </c>
      <c r="N48" s="32">
        <f>'Dashboard Control'!$N$18-N47</f>
        <v>983250</v>
      </c>
      <c r="O48" s="4"/>
    </row>
    <row r="49" spans="2:15" x14ac:dyDescent="0.3">
      <c r="B49" s="253" t="s">
        <v>25</v>
      </c>
      <c r="C49" s="253"/>
      <c r="D49" s="253"/>
      <c r="E49" s="144">
        <f t="shared" ref="E49:N49" si="6">E41-SUM(E46:E47)</f>
        <v>52529.958230179647</v>
      </c>
      <c r="F49" s="144">
        <f>F41-SUM(F46:F47)</f>
        <v>93470.996730179671</v>
      </c>
      <c r="G49" s="144">
        <f t="shared" si="6"/>
        <v>106959.75072917988</v>
      </c>
      <c r="H49" s="144">
        <f t="shared" si="6"/>
        <v>120990.44973902992</v>
      </c>
      <c r="I49" s="144">
        <f t="shared" si="6"/>
        <v>135582.83972867316</v>
      </c>
      <c r="J49" s="144">
        <f t="shared" si="6"/>
        <v>150757.35105761647</v>
      </c>
      <c r="K49" s="144">
        <f t="shared" si="6"/>
        <v>166535.12151565411</v>
      </c>
      <c r="L49" s="144">
        <f t="shared" si="6"/>
        <v>180070.86174954387</v>
      </c>
      <c r="M49" s="144">
        <f t="shared" si="6"/>
        <v>194082.32547115791</v>
      </c>
      <c r="N49" s="144">
        <f t="shared" si="6"/>
        <v>208585.17741073889</v>
      </c>
      <c r="O49" s="4"/>
    </row>
    <row r="50" spans="2:15" x14ac:dyDescent="0.3">
      <c r="B50" s="251"/>
      <c r="C50" s="251"/>
      <c r="D50" s="251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5" x14ac:dyDescent="0.3">
      <c r="B51" s="254" t="s">
        <v>26</v>
      </c>
      <c r="C51" s="254"/>
      <c r="D51" s="254"/>
      <c r="E51" s="13">
        <f>SUM(,E49)</f>
        <v>52529.958230179647</v>
      </c>
      <c r="F51" s="13">
        <f t="shared" ref="F51:N51" si="7">SUM(E51,F49)</f>
        <v>146000.95496035932</v>
      </c>
      <c r="G51" s="13">
        <f t="shared" si="7"/>
        <v>252960.7056895392</v>
      </c>
      <c r="H51" s="13">
        <f t="shared" si="7"/>
        <v>373951.15542856912</v>
      </c>
      <c r="I51" s="13">
        <f t="shared" si="7"/>
        <v>509533.99515724229</v>
      </c>
      <c r="J51" s="13">
        <f t="shared" si="7"/>
        <v>660291.34621485882</v>
      </c>
      <c r="K51" s="13">
        <f t="shared" si="7"/>
        <v>826826.46773051296</v>
      </c>
      <c r="L51" s="13">
        <f t="shared" si="7"/>
        <v>1006897.3294800569</v>
      </c>
      <c r="M51" s="13">
        <f t="shared" si="7"/>
        <v>1200979.6549512148</v>
      </c>
      <c r="N51" s="13">
        <f t="shared" si="7"/>
        <v>1409564.8323619538</v>
      </c>
    </row>
    <row r="52" spans="2:15" x14ac:dyDescent="0.3">
      <c r="B52" s="251"/>
      <c r="C52" s="251"/>
      <c r="D52" s="251"/>
    </row>
    <row r="53" spans="2:15" x14ac:dyDescent="0.3">
      <c r="B53" s="256" t="s">
        <v>27</v>
      </c>
      <c r="C53" s="256"/>
      <c r="D53" s="256"/>
    </row>
    <row r="54" spans="2:15" x14ac:dyDescent="0.3">
      <c r="B54" s="250" t="s">
        <v>28</v>
      </c>
      <c r="C54" s="250"/>
      <c r="D54" s="250"/>
      <c r="E54" s="49">
        <f>E41/'Dashboard Control'!$N$18</f>
        <v>0.13342482403272785</v>
      </c>
      <c r="F54" s="49">
        <f>F41/'Dashboard Control'!$N$18</f>
        <v>0.17506330712451532</v>
      </c>
      <c r="G54" s="49">
        <f>G41/'Dashboard Control'!$N$18</f>
        <v>0.1887818466607474</v>
      </c>
      <c r="H54" s="49">
        <f>H41/'Dashboard Control'!$N$18</f>
        <v>0.2030515634264225</v>
      </c>
      <c r="I54" s="49">
        <f>I41/'Dashboard Control'!$N$18</f>
        <v>0.21789253976981759</v>
      </c>
      <c r="J54" s="49">
        <f>J41/'Dashboard Control'!$N$18</f>
        <v>0.23332555408860053</v>
      </c>
      <c r="K54" s="49">
        <f>K41/'Dashboard Control'!$N$18</f>
        <v>0.24937210426204334</v>
      </c>
      <c r="L54" s="49">
        <f>L41/'Dashboard Control'!$N$18</f>
        <v>0.26313843045974461</v>
      </c>
      <c r="M54" s="49">
        <f>M41/'Dashboard Control'!$N$18</f>
        <v>0.27738858425747054</v>
      </c>
      <c r="N54" s="49">
        <f>N41/'Dashboard Control'!$N$18</f>
        <v>0.29213849723950053</v>
      </c>
    </row>
    <row r="55" spans="2:15" x14ac:dyDescent="0.3">
      <c r="B55" s="250" t="s">
        <v>29</v>
      </c>
      <c r="C55" s="250"/>
      <c r="D55" s="250"/>
      <c r="E55" s="50">
        <f>(E41+(-E37))/'Dashboard Control'!$N$41</f>
        <v>0.19154937530381347</v>
      </c>
      <c r="F55" s="50">
        <f>(F41+(-F37))/'Dashboard Control'!$N$41</f>
        <v>0.2355559422959054</v>
      </c>
      <c r="G55" s="50">
        <f>(G41+(-G37))/'Dashboard Control'!$N$41</f>
        <v>0.25173904512430384</v>
      </c>
      <c r="H55" s="50">
        <f>(H41+(-H37))/'Dashboard Control'!$N$41</f>
        <v>0.26857373529329165</v>
      </c>
      <c r="I55" s="50">
        <f>(I41+(-I37))/'Dashboard Control'!$N$41</f>
        <v>0.28608418601399865</v>
      </c>
      <c r="J55" s="50">
        <f>(J41+(-J37))/'Dashboard Control'!$N$41</f>
        <v>0.30429543321501001</v>
      </c>
      <c r="K55" s="50">
        <f>(K41+(-K37))/'Dashboard Control'!$N$41</f>
        <v>0.32323340576489373</v>
      </c>
      <c r="L55" s="50">
        <f>(L41+(-L37))/'Dashboard Control'!$N$41</f>
        <v>0.34000895534788483</v>
      </c>
      <c r="M55" s="50">
        <f>(M41+(-M37))/'Dashboard Control'!$N$41</f>
        <v>0.35739093293460772</v>
      </c>
      <c r="N55" s="50">
        <f>(N41+(-N37))/'Dashboard Control'!$N$41</f>
        <v>0.3754002650389513</v>
      </c>
    </row>
    <row r="56" spans="2:15" hidden="1" x14ac:dyDescent="0.3">
      <c r="B56" s="250" t="s">
        <v>30</v>
      </c>
      <c r="C56" s="250"/>
      <c r="D56" s="250"/>
    </row>
    <row r="57" spans="2:15" x14ac:dyDescent="0.3">
      <c r="B57" s="250" t="s">
        <v>31</v>
      </c>
      <c r="C57" s="250"/>
      <c r="D57" s="250"/>
      <c r="E57" s="50">
        <f>E34/'Dashboard Control'!$N$26</f>
        <v>0.10444926938775512</v>
      </c>
      <c r="F57" s="50">
        <f>F34/'Dashboard Control'!$N$26</f>
        <v>0.1211598973469388</v>
      </c>
      <c r="G57" s="50">
        <f>G34/'Dashboard Control'!$N$26</f>
        <v>0.12666551122408173</v>
      </c>
      <c r="H57" s="50">
        <f>H34/'Dashboard Control'!$N$26</f>
        <v>0.13239232714646951</v>
      </c>
      <c r="I57" s="50">
        <f>I34/'Dashboard Control'!$N$26</f>
        <v>0.13834840469326265</v>
      </c>
      <c r="J57" s="50">
        <f>J34/'Dashboard Control'!$N$26</f>
        <v>0.14454208278670891</v>
      </c>
      <c r="K57" s="50">
        <f>K34/'Dashboard Control'!$N$26</f>
        <v>0.15098198909611205</v>
      </c>
      <c r="L57" s="50">
        <f>L34/'Dashboard Control'!$N$26</f>
        <v>0.15650678102831192</v>
      </c>
      <c r="M57" s="50">
        <f>M34/'Dashboard Control'!$N$26</f>
        <v>0.16222574581264418</v>
      </c>
      <c r="N57" s="50">
        <f>N34/'Dashboard Control'!$N$26</f>
        <v>0.16814527721655478</v>
      </c>
    </row>
    <row r="58" spans="2:15" x14ac:dyDescent="0.3">
      <c r="B58" s="250" t="s">
        <v>32</v>
      </c>
      <c r="C58" s="250"/>
      <c r="D58" s="250"/>
      <c r="E58" s="50">
        <f t="shared" ref="E58:N58" si="8">E32/E16</f>
        <v>0.5310880778695809</v>
      </c>
      <c r="F58" s="50">
        <f t="shared" si="8"/>
        <v>0.50346260447585245</v>
      </c>
      <c r="G58" s="50">
        <f t="shared" si="8"/>
        <v>0.49822089066513686</v>
      </c>
      <c r="H58" s="50">
        <f t="shared" si="8"/>
        <v>0.49304526046380742</v>
      </c>
      <c r="I58" s="50">
        <f t="shared" si="8"/>
        <v>0.48793565072098449</v>
      </c>
      <c r="J58" s="50">
        <f t="shared" si="8"/>
        <v>0.48289194135265429</v>
      </c>
      <c r="K58" s="50">
        <f t="shared" si="8"/>
        <v>0.47791395916614049</v>
      </c>
      <c r="L58" s="50">
        <f t="shared" si="8"/>
        <v>0.47455051267580667</v>
      </c>
      <c r="M58" s="50">
        <f t="shared" si="8"/>
        <v>0.47120854930303996</v>
      </c>
      <c r="N58" s="50">
        <f t="shared" si="8"/>
        <v>0.46788849574429403</v>
      </c>
    </row>
    <row r="59" spans="2:15" hidden="1" x14ac:dyDescent="0.3">
      <c r="B59" s="250" t="s">
        <v>33</v>
      </c>
      <c r="C59" s="250"/>
      <c r="D59" s="250"/>
    </row>
    <row r="60" spans="2:15" hidden="1" x14ac:dyDescent="0.3">
      <c r="B60" s="250" t="s">
        <v>34</v>
      </c>
      <c r="C60" s="250"/>
      <c r="D60" s="250"/>
    </row>
    <row r="61" spans="2:15" x14ac:dyDescent="0.3">
      <c r="B61" s="250" t="s">
        <v>35</v>
      </c>
      <c r="C61" s="250"/>
      <c r="D61" s="250"/>
      <c r="E61" s="51">
        <f>E34/-E39</f>
        <v>2.0519538722075703</v>
      </c>
      <c r="F61" s="51">
        <f t="shared" ref="F61:N61" si="9">F34/-F39</f>
        <v>2.3802418339028475</v>
      </c>
      <c r="G61" s="51">
        <f t="shared" si="9"/>
        <v>2.4884021473287223</v>
      </c>
      <c r="H61" s="51">
        <f t="shared" si="9"/>
        <v>2.600908076534783</v>
      </c>
      <c r="I61" s="51">
        <f t="shared" si="9"/>
        <v>2.7179179556555226</v>
      </c>
      <c r="J61" s="51">
        <f t="shared" si="9"/>
        <v>2.8395956066486865</v>
      </c>
      <c r="K61" s="51">
        <f t="shared" si="9"/>
        <v>2.966110524040563</v>
      </c>
      <c r="L61" s="51">
        <f t="shared" si="9"/>
        <v>3.0746475991667941</v>
      </c>
      <c r="M61" s="51">
        <f t="shared" si="9"/>
        <v>3.1869992891596115</v>
      </c>
      <c r="N61" s="51">
        <f t="shared" si="9"/>
        <v>3.3032912025172427</v>
      </c>
    </row>
    <row r="63" spans="2:15" x14ac:dyDescent="0.3">
      <c r="B63" t="s">
        <v>36</v>
      </c>
    </row>
    <row r="64" spans="2:15" x14ac:dyDescent="0.3">
      <c r="B64" s="23" t="s">
        <v>160</v>
      </c>
      <c r="C64" s="23"/>
      <c r="D64" s="23"/>
    </row>
    <row r="65" spans="2:4" x14ac:dyDescent="0.3">
      <c r="B65" s="23" t="s">
        <v>178</v>
      </c>
      <c r="C65" s="23"/>
      <c r="D65" s="23"/>
    </row>
    <row r="66" spans="2:4" x14ac:dyDescent="0.3">
      <c r="B66" s="23" t="s">
        <v>173</v>
      </c>
      <c r="C66" s="23"/>
      <c r="D66" s="23"/>
    </row>
    <row r="67" spans="2:4" x14ac:dyDescent="0.3">
      <c r="B67" s="23" t="s">
        <v>252</v>
      </c>
      <c r="C67" s="23"/>
      <c r="D67" s="23"/>
    </row>
  </sheetData>
  <mergeCells count="52">
    <mergeCell ref="B14:D14"/>
    <mergeCell ref="E5:N5"/>
    <mergeCell ref="B9:D9"/>
    <mergeCell ref="B10:D10"/>
    <mergeCell ref="B11:D11"/>
    <mergeCell ref="B12:D12"/>
    <mergeCell ref="B8:D8"/>
    <mergeCell ref="B25:D25"/>
    <mergeCell ref="B16:D16"/>
    <mergeCell ref="B18:D18"/>
    <mergeCell ref="B19:D19"/>
    <mergeCell ref="B20:D20"/>
    <mergeCell ref="B17:D17"/>
    <mergeCell ref="B21:D21"/>
    <mergeCell ref="B22:D22"/>
    <mergeCell ref="B23:D23"/>
    <mergeCell ref="B24:D24"/>
    <mergeCell ref="B32:D32"/>
    <mergeCell ref="B34:D34"/>
    <mergeCell ref="B36:D36"/>
    <mergeCell ref="B26:D26"/>
    <mergeCell ref="B27:D27"/>
    <mergeCell ref="B28:D28"/>
    <mergeCell ref="B29:D29"/>
    <mergeCell ref="B30:D30"/>
    <mergeCell ref="B31:D31"/>
    <mergeCell ref="B41:D41"/>
    <mergeCell ref="B42:D42"/>
    <mergeCell ref="B40:D40"/>
    <mergeCell ref="B33:D33"/>
    <mergeCell ref="B35:D35"/>
    <mergeCell ref="B37:D37"/>
    <mergeCell ref="B38:D38"/>
    <mergeCell ref="B39:D39"/>
    <mergeCell ref="B56:D56"/>
    <mergeCell ref="B43:D43"/>
    <mergeCell ref="B44:D44"/>
    <mergeCell ref="B46:D46"/>
    <mergeCell ref="B47:D47"/>
    <mergeCell ref="B49:D49"/>
    <mergeCell ref="B50:D50"/>
    <mergeCell ref="B51:D51"/>
    <mergeCell ref="B48:D48"/>
    <mergeCell ref="B52:D52"/>
    <mergeCell ref="B53:D53"/>
    <mergeCell ref="B54:D54"/>
    <mergeCell ref="B55:D55"/>
    <mergeCell ref="B57:D57"/>
    <mergeCell ref="B58:D58"/>
    <mergeCell ref="B59:D59"/>
    <mergeCell ref="B60:D60"/>
    <mergeCell ref="B61:D61"/>
  </mergeCells>
  <phoneticPr fontId="8" type="noConversion"/>
  <pageMargins left="0.7" right="0.7" top="0.75" bottom="0.75" header="0.3" footer="0.3"/>
  <pageSetup scale="42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B7ED-3726-4007-9E74-5591C66457CC}">
  <sheetPr>
    <pageSetUpPr fitToPage="1"/>
  </sheetPr>
  <dimension ref="B2:Y41"/>
  <sheetViews>
    <sheetView topLeftCell="A7" zoomScale="80" zoomScaleNormal="80" workbookViewId="0">
      <selection activeCell="F13" sqref="F13"/>
    </sheetView>
  </sheetViews>
  <sheetFormatPr defaultRowHeight="14.4" x14ac:dyDescent="0.3"/>
  <cols>
    <col min="1" max="1" width="2.5546875" customWidth="1"/>
    <col min="2" max="2" width="50.33203125" customWidth="1"/>
    <col min="3" max="3" width="8.33203125" bestFit="1" customWidth="1"/>
    <col min="4" max="4" width="27" bestFit="1" customWidth="1"/>
    <col min="5" max="5" width="5.88671875" customWidth="1"/>
    <col min="6" max="6" width="30.33203125" bestFit="1" customWidth="1"/>
    <col min="7" max="7" width="5.5546875" customWidth="1"/>
    <col min="8" max="8" width="15.33203125" customWidth="1"/>
    <col min="9" max="9" width="4" customWidth="1"/>
    <col min="12" max="12" width="33.5546875" customWidth="1"/>
    <col min="13" max="13" width="5.109375" bestFit="1" customWidth="1"/>
    <col min="14" max="14" width="18.44140625" bestFit="1" customWidth="1"/>
    <col min="15" max="15" width="3.6640625" customWidth="1"/>
    <col min="18" max="18" width="8.5546875" customWidth="1"/>
    <col min="19" max="19" width="17.6640625" customWidth="1"/>
  </cols>
  <sheetData>
    <row r="2" spans="2:25" ht="21" x14ac:dyDescent="0.4">
      <c r="B2" s="7" t="s">
        <v>37</v>
      </c>
      <c r="C2" s="7"/>
    </row>
    <row r="3" spans="2:25" ht="18" x14ac:dyDescent="0.35">
      <c r="B3" s="110" t="s">
        <v>205</v>
      </c>
      <c r="C3" s="6"/>
    </row>
    <row r="5" spans="2:25" x14ac:dyDescent="0.3">
      <c r="B5" s="1" t="s">
        <v>38</v>
      </c>
      <c r="C5" s="1"/>
      <c r="D5" s="1"/>
      <c r="F5" s="1" t="s">
        <v>39</v>
      </c>
      <c r="G5" s="1"/>
      <c r="H5" s="2"/>
      <c r="J5" s="272" t="s">
        <v>40</v>
      </c>
      <c r="K5" s="272"/>
      <c r="L5" s="272"/>
      <c r="M5" s="75"/>
      <c r="N5" s="2"/>
      <c r="P5" s="272" t="s">
        <v>41</v>
      </c>
      <c r="Q5" s="272"/>
      <c r="R5" s="272"/>
      <c r="S5" s="2"/>
      <c r="T5" s="2"/>
      <c r="U5" s="2"/>
      <c r="V5" s="2"/>
      <c r="W5" s="2"/>
      <c r="X5" s="2"/>
      <c r="Y5" s="2"/>
    </row>
    <row r="6" spans="2:25" x14ac:dyDescent="0.3">
      <c r="B6" t="s">
        <v>42</v>
      </c>
      <c r="D6" s="141" t="s">
        <v>206</v>
      </c>
      <c r="F6" s="76" t="s">
        <v>43</v>
      </c>
      <c r="G6" s="76"/>
      <c r="H6" s="138">
        <f>'Cash Flow 10 Yr'!E54</f>
        <v>0.13342482403272785</v>
      </c>
      <c r="J6" s="266" t="s">
        <v>44</v>
      </c>
      <c r="K6" s="266"/>
      <c r="L6" s="266"/>
      <c r="M6" s="73"/>
      <c r="N6" s="43">
        <v>0.3</v>
      </c>
      <c r="P6" s="266" t="s">
        <v>45</v>
      </c>
      <c r="Q6" s="266"/>
      <c r="R6" s="266"/>
      <c r="S6" s="44"/>
      <c r="T6" s="266" t="s">
        <v>46</v>
      </c>
      <c r="U6" s="266"/>
      <c r="V6" s="266"/>
      <c r="W6" s="267" t="s">
        <v>193</v>
      </c>
      <c r="X6" s="267"/>
      <c r="Y6" s="267"/>
    </row>
    <row r="7" spans="2:25" x14ac:dyDescent="0.3">
      <c r="B7" t="s">
        <v>47</v>
      </c>
      <c r="D7" s="30" t="s">
        <v>207</v>
      </c>
      <c r="F7" s="74" t="s">
        <v>48</v>
      </c>
      <c r="G7" s="74"/>
      <c r="H7" s="139">
        <f>'Cash Flow 10 Yr'!E41</f>
        <v>131189.95823017965</v>
      </c>
      <c r="J7" s="259" t="s">
        <v>49</v>
      </c>
      <c r="K7" s="259"/>
      <c r="L7" s="259"/>
      <c r="M7" s="72"/>
      <c r="N7" s="21">
        <v>0.04</v>
      </c>
      <c r="P7" s="259" t="s">
        <v>50</v>
      </c>
      <c r="Q7" s="259"/>
      <c r="R7" s="259"/>
      <c r="S7" s="130" t="s">
        <v>181</v>
      </c>
      <c r="T7" s="259" t="s">
        <v>51</v>
      </c>
      <c r="U7" s="259"/>
      <c r="V7" s="259"/>
      <c r="W7" s="267"/>
      <c r="X7" s="267"/>
      <c r="Y7" s="267"/>
    </row>
    <row r="8" spans="2:25" x14ac:dyDescent="0.3">
      <c r="B8" t="s">
        <v>52</v>
      </c>
      <c r="D8" s="30">
        <v>35</v>
      </c>
      <c r="F8" s="74" t="s">
        <v>53</v>
      </c>
      <c r="G8" s="74"/>
      <c r="H8" s="136">
        <f>'Cash Flow 10 Yr'!N44</f>
        <v>2196164.8323619533</v>
      </c>
      <c r="J8" s="259" t="s">
        <v>54</v>
      </c>
      <c r="K8" s="259"/>
      <c r="L8" s="259"/>
      <c r="M8" s="72"/>
      <c r="N8" s="22">
        <v>20</v>
      </c>
      <c r="P8" s="259" t="s">
        <v>55</v>
      </c>
      <c r="Q8" s="259"/>
      <c r="R8" s="259"/>
      <c r="S8" s="132" t="s">
        <v>180</v>
      </c>
      <c r="T8" s="259" t="s">
        <v>56</v>
      </c>
      <c r="U8" s="259"/>
      <c r="V8" s="259"/>
      <c r="W8" s="267"/>
      <c r="X8" s="267"/>
      <c r="Y8" s="267"/>
    </row>
    <row r="9" spans="2:25" x14ac:dyDescent="0.3">
      <c r="B9" t="s">
        <v>175</v>
      </c>
      <c r="D9" s="30">
        <f>SUM(D10:D12)</f>
        <v>147</v>
      </c>
      <c r="F9" s="74" t="s">
        <v>57</v>
      </c>
      <c r="G9" s="74"/>
      <c r="H9" s="140">
        <f>'Cash Flow 10 Yr'!G57</f>
        <v>0.12666551122408173</v>
      </c>
      <c r="J9" s="259" t="s">
        <v>58</v>
      </c>
      <c r="K9" s="259"/>
      <c r="L9" s="259"/>
      <c r="M9" s="72"/>
      <c r="N9" s="22">
        <v>12</v>
      </c>
      <c r="P9" s="259" t="s">
        <v>59</v>
      </c>
      <c r="Q9" s="259"/>
      <c r="R9" s="259"/>
      <c r="S9" s="23"/>
      <c r="T9" s="259" t="s">
        <v>60</v>
      </c>
      <c r="U9" s="259"/>
      <c r="V9" s="259"/>
      <c r="W9" s="268" t="s">
        <v>194</v>
      </c>
      <c r="X9" s="268"/>
      <c r="Y9" s="268"/>
    </row>
    <row r="10" spans="2:25" x14ac:dyDescent="0.3">
      <c r="B10" t="s">
        <v>187</v>
      </c>
      <c r="D10" s="30">
        <v>88</v>
      </c>
      <c r="F10" s="74" t="s">
        <v>61</v>
      </c>
      <c r="G10" s="74"/>
      <c r="H10" s="136">
        <f>'Cash Flow 10 Yr'!G34</f>
        <v>310330.50249900023</v>
      </c>
      <c r="J10" s="259" t="s">
        <v>62</v>
      </c>
      <c r="K10" s="259"/>
      <c r="L10" s="259"/>
      <c r="M10" s="72"/>
      <c r="N10" s="22"/>
      <c r="P10" s="259" t="s">
        <v>63</v>
      </c>
      <c r="Q10" s="259"/>
      <c r="R10" s="259"/>
      <c r="S10" s="22"/>
      <c r="T10" s="259" t="s">
        <v>185</v>
      </c>
      <c r="U10" s="259"/>
      <c r="V10" s="259"/>
      <c r="W10" s="269">
        <f>N24/D9</f>
        <v>15646.258503401361</v>
      </c>
      <c r="X10" s="267"/>
      <c r="Y10" s="267"/>
    </row>
    <row r="11" spans="2:25" x14ac:dyDescent="0.3">
      <c r="B11" s="9" t="s">
        <v>188</v>
      </c>
      <c r="D11" s="30">
        <v>55</v>
      </c>
      <c r="F11" s="74" t="s">
        <v>64</v>
      </c>
      <c r="G11" s="74"/>
      <c r="H11" s="35">
        <f>'IRR Calculator'!E35</f>
        <v>0.33438531756401069</v>
      </c>
      <c r="J11" s="259" t="s">
        <v>65</v>
      </c>
      <c r="K11" s="259"/>
      <c r="L11" s="259"/>
      <c r="M11" s="72"/>
      <c r="N11" s="22"/>
      <c r="P11" s="259" t="s">
        <v>66</v>
      </c>
      <c r="Q11" s="259"/>
      <c r="R11" s="259"/>
      <c r="S11" s="22"/>
      <c r="T11" s="259" t="s">
        <v>67</v>
      </c>
      <c r="U11" s="259"/>
      <c r="V11" s="259"/>
      <c r="W11" s="267"/>
      <c r="X11" s="267"/>
      <c r="Y11" s="267"/>
    </row>
    <row r="12" spans="2:25" x14ac:dyDescent="0.3">
      <c r="B12" t="s">
        <v>208</v>
      </c>
      <c r="D12" s="30">
        <v>4</v>
      </c>
      <c r="F12" s="74" t="s">
        <v>68</v>
      </c>
      <c r="G12" s="74"/>
      <c r="H12" s="140">
        <f>'Exit Stops'!K26</f>
        <v>1.2938166610007642</v>
      </c>
      <c r="J12" s="259" t="s">
        <v>69</v>
      </c>
      <c r="K12" s="259"/>
      <c r="L12" s="259"/>
      <c r="M12" s="72"/>
      <c r="N12" s="22"/>
      <c r="P12" s="259" t="s">
        <v>70</v>
      </c>
      <c r="Q12" s="259"/>
      <c r="R12" s="259"/>
      <c r="S12" s="22"/>
      <c r="T12" s="270">
        <v>1</v>
      </c>
      <c r="U12" s="270"/>
      <c r="V12" s="270"/>
      <c r="W12" s="267"/>
      <c r="X12" s="267"/>
      <c r="Y12" s="267"/>
    </row>
    <row r="13" spans="2:25" x14ac:dyDescent="0.3">
      <c r="B13" t="s">
        <v>243</v>
      </c>
      <c r="D13" s="30">
        <v>25</v>
      </c>
      <c r="J13" s="259"/>
      <c r="K13" s="259"/>
      <c r="L13" s="259"/>
      <c r="M13" s="72"/>
      <c r="P13" s="259" t="s">
        <v>71</v>
      </c>
      <c r="Q13" s="259"/>
      <c r="R13" s="259"/>
      <c r="S13" s="98"/>
      <c r="T13" s="270">
        <v>2</v>
      </c>
      <c r="U13" s="270"/>
      <c r="V13" s="270"/>
      <c r="W13" s="267"/>
      <c r="X13" s="267"/>
      <c r="Y13" s="267"/>
    </row>
    <row r="14" spans="2:25" x14ac:dyDescent="0.3">
      <c r="D14" s="30"/>
      <c r="J14" s="272" t="s">
        <v>72</v>
      </c>
      <c r="K14" s="272"/>
      <c r="L14" s="272"/>
      <c r="M14" s="75"/>
      <c r="N14" s="2"/>
      <c r="P14" s="259" t="s">
        <v>73</v>
      </c>
      <c r="Q14" s="259"/>
      <c r="R14" s="259"/>
      <c r="S14" s="40"/>
      <c r="T14" s="270">
        <v>3</v>
      </c>
      <c r="U14" s="270"/>
      <c r="V14" s="270"/>
      <c r="W14" s="267"/>
      <c r="X14" s="267"/>
      <c r="Y14" s="267"/>
    </row>
    <row r="15" spans="2:25" x14ac:dyDescent="0.3">
      <c r="B15" t="s">
        <v>249</v>
      </c>
      <c r="D15" s="30">
        <v>98</v>
      </c>
      <c r="J15" s="266" t="s">
        <v>241</v>
      </c>
      <c r="K15" s="266"/>
      <c r="L15" s="266"/>
      <c r="M15" s="73"/>
      <c r="N15" s="115">
        <f>N26</f>
        <v>2450000</v>
      </c>
      <c r="P15" s="259" t="s">
        <v>74</v>
      </c>
      <c r="Q15" s="259"/>
      <c r="R15" s="259"/>
      <c r="S15" s="84"/>
      <c r="T15" s="270">
        <v>4</v>
      </c>
      <c r="U15" s="270"/>
      <c r="V15" s="270"/>
      <c r="W15" s="267"/>
      <c r="X15" s="267"/>
      <c r="Y15" s="267"/>
    </row>
    <row r="16" spans="2:25" x14ac:dyDescent="0.3">
      <c r="B16" s="9" t="s">
        <v>250</v>
      </c>
      <c r="C16" s="9"/>
      <c r="D16" s="30">
        <v>48</v>
      </c>
      <c r="J16" s="259" t="s">
        <v>117</v>
      </c>
      <c r="K16" s="259"/>
      <c r="L16" s="259"/>
      <c r="M16" s="72"/>
      <c r="N16" s="41">
        <f>'Sources &amp; Uses'!I36</f>
        <v>248250</v>
      </c>
      <c r="P16" s="259" t="s">
        <v>75</v>
      </c>
      <c r="Q16" s="259"/>
      <c r="R16" s="259"/>
      <c r="S16" s="86"/>
      <c r="T16" s="270">
        <v>5</v>
      </c>
      <c r="U16" s="270"/>
      <c r="V16" s="270"/>
      <c r="W16" s="267"/>
      <c r="X16" s="267"/>
      <c r="Y16" s="267"/>
    </row>
    <row r="17" spans="2:25" x14ac:dyDescent="0.3">
      <c r="B17" s="9" t="s">
        <v>248</v>
      </c>
      <c r="C17" s="9"/>
      <c r="D17" s="30">
        <v>25</v>
      </c>
      <c r="J17" s="259" t="s">
        <v>76</v>
      </c>
      <c r="K17" s="259"/>
      <c r="L17" s="259"/>
      <c r="M17" s="72"/>
      <c r="N17" s="41">
        <f>Amorization!E12</f>
        <v>1715000</v>
      </c>
      <c r="P17" s="259" t="s">
        <v>77</v>
      </c>
      <c r="Q17" s="259"/>
      <c r="R17" s="259"/>
      <c r="S17" s="22"/>
      <c r="T17" s="259" t="s">
        <v>186</v>
      </c>
      <c r="U17" s="259"/>
      <c r="V17" s="259"/>
      <c r="W17" s="23" t="s">
        <v>184</v>
      </c>
      <c r="X17" s="23"/>
      <c r="Y17" s="23"/>
    </row>
    <row r="18" spans="2:25" x14ac:dyDescent="0.3">
      <c r="B18" s="9"/>
      <c r="C18" s="9"/>
      <c r="D18" s="118"/>
      <c r="J18" s="259" t="s">
        <v>78</v>
      </c>
      <c r="K18" s="259"/>
      <c r="L18" s="259"/>
      <c r="M18" s="72"/>
      <c r="N18" s="41">
        <f>N15-N17+N16</f>
        <v>983250</v>
      </c>
      <c r="P18" s="259" t="s">
        <v>79</v>
      </c>
      <c r="Q18" s="259"/>
      <c r="R18" s="259"/>
      <c r="S18" s="22"/>
      <c r="T18" s="259"/>
      <c r="U18" s="259"/>
      <c r="V18" s="259"/>
      <c r="W18" s="23"/>
      <c r="X18" s="23"/>
      <c r="Y18" s="23"/>
    </row>
    <row r="19" spans="2:25" x14ac:dyDescent="0.3">
      <c r="B19" s="9"/>
      <c r="C19" s="9"/>
      <c r="D19" s="118"/>
      <c r="J19" s="251"/>
      <c r="K19" s="251"/>
      <c r="L19" s="251"/>
      <c r="M19" s="68"/>
      <c r="P19" s="259" t="s">
        <v>80</v>
      </c>
      <c r="Q19" s="259"/>
      <c r="R19" s="259"/>
      <c r="S19" s="22"/>
      <c r="T19" s="259"/>
      <c r="U19" s="259"/>
      <c r="V19" s="259"/>
      <c r="W19" s="23"/>
      <c r="X19" s="23"/>
      <c r="Y19" s="23"/>
    </row>
    <row r="20" spans="2:25" x14ac:dyDescent="0.3">
      <c r="B20" s="9"/>
      <c r="C20" s="9"/>
      <c r="D20" s="118"/>
      <c r="J20" s="251"/>
      <c r="K20" s="251"/>
      <c r="L20" s="251"/>
      <c r="M20" s="68"/>
      <c r="P20" s="250" t="s">
        <v>51</v>
      </c>
      <c r="Q20" s="250"/>
      <c r="R20" s="250"/>
      <c r="S20" s="22"/>
    </row>
    <row r="21" spans="2:25" ht="15" thickBot="1" x14ac:dyDescent="0.35">
      <c r="B21" s="3"/>
      <c r="C21" s="3"/>
      <c r="D21" s="3"/>
      <c r="E21" s="3"/>
      <c r="F21" s="3"/>
      <c r="G21" s="3"/>
      <c r="H21" s="3"/>
      <c r="I21" s="3"/>
      <c r="J21" s="258"/>
      <c r="K21" s="258"/>
      <c r="L21" s="258"/>
      <c r="M21" s="71"/>
      <c r="N21" s="3"/>
      <c r="O21" s="3"/>
      <c r="P21" s="3"/>
      <c r="Q21" s="3"/>
      <c r="R21" s="3"/>
      <c r="S21" s="3"/>
      <c r="T21" s="4"/>
    </row>
    <row r="22" spans="2:25" x14ac:dyDescent="0.3">
      <c r="T22" s="4"/>
    </row>
    <row r="23" spans="2:25" x14ac:dyDescent="0.3">
      <c r="B23" s="1" t="s">
        <v>177</v>
      </c>
      <c r="C23" s="83"/>
      <c r="D23" s="2"/>
      <c r="F23" s="1" t="s">
        <v>81</v>
      </c>
      <c r="G23" s="1"/>
      <c r="H23" s="2"/>
      <c r="J23" s="272" t="s">
        <v>82</v>
      </c>
      <c r="K23" s="272"/>
      <c r="L23" s="272"/>
      <c r="M23" s="75"/>
      <c r="N23" s="2"/>
      <c r="P23" s="272" t="s">
        <v>83</v>
      </c>
      <c r="Q23" s="272"/>
      <c r="R23" s="272"/>
      <c r="S23" s="2"/>
    </row>
    <row r="24" spans="2:25" x14ac:dyDescent="0.3">
      <c r="B24" t="s">
        <v>87</v>
      </c>
      <c r="D24" s="31"/>
      <c r="F24" t="s">
        <v>84</v>
      </c>
      <c r="H24" s="38">
        <v>25000</v>
      </c>
      <c r="J24" s="273" t="s">
        <v>85</v>
      </c>
      <c r="K24" s="273"/>
      <c r="L24" s="273"/>
      <c r="M24" s="76"/>
      <c r="N24" s="80">
        <v>2300000</v>
      </c>
      <c r="P24" s="266" t="s">
        <v>182</v>
      </c>
      <c r="Q24" s="266"/>
      <c r="R24" s="266"/>
      <c r="S24" s="112">
        <f>N24/D9</f>
        <v>15646.258503401361</v>
      </c>
    </row>
    <row r="25" spans="2:25" x14ac:dyDescent="0.3">
      <c r="B25" s="2" t="s">
        <v>245</v>
      </c>
      <c r="D25" s="239">
        <f>'Revenue Streams'!AA109</f>
        <v>649589</v>
      </c>
      <c r="F25" t="s">
        <v>86</v>
      </c>
      <c r="H25" s="39">
        <v>20000</v>
      </c>
      <c r="J25" s="271" t="s">
        <v>113</v>
      </c>
      <c r="K25" s="271"/>
      <c r="L25" s="271"/>
      <c r="M25" s="74"/>
      <c r="N25" s="101">
        <f>'Sources &amp; Uses'!I19</f>
        <v>150000</v>
      </c>
      <c r="P25" s="259" t="s">
        <v>183</v>
      </c>
      <c r="Q25" s="259"/>
      <c r="R25" s="259"/>
      <c r="S25" s="106">
        <f>N26/D9</f>
        <v>16666.666666666668</v>
      </c>
    </row>
    <row r="26" spans="2:25" ht="15" thickBot="1" x14ac:dyDescent="0.35">
      <c r="B26" t="str">
        <f>'Revenue Streams'!D96</f>
        <v>Total Seasonal Rent</v>
      </c>
      <c r="C26" s="82"/>
      <c r="D26" s="31">
        <f>'Revenue Streams'!AA96</f>
        <v>211200</v>
      </c>
      <c r="F26" t="s">
        <v>88</v>
      </c>
      <c r="H26" s="39">
        <v>100000</v>
      </c>
      <c r="J26" s="271" t="s">
        <v>116</v>
      </c>
      <c r="K26" s="271"/>
      <c r="L26" s="271"/>
      <c r="M26" s="74"/>
      <c r="N26" s="103">
        <f>SUM(N24:N25)</f>
        <v>2450000</v>
      </c>
      <c r="P26" s="178" t="s">
        <v>230</v>
      </c>
      <c r="Q26" s="178"/>
      <c r="R26" s="178"/>
      <c r="S26" s="106">
        <f>N26/(D9+D13)</f>
        <v>14244.186046511628</v>
      </c>
    </row>
    <row r="27" spans="2:25" ht="15" thickBot="1" x14ac:dyDescent="0.35">
      <c r="B27" s="9" t="str">
        <f>'Revenue Streams'!D101</f>
        <v>Total Transient &amp; Cabin Income</v>
      </c>
      <c r="C27" s="82"/>
      <c r="D27" s="31">
        <f>'Revenue Streams'!AA101</f>
        <v>212989</v>
      </c>
      <c r="F27" t="s">
        <v>89</v>
      </c>
      <c r="H27" s="39">
        <v>16000</v>
      </c>
      <c r="J27" s="74" t="s">
        <v>91</v>
      </c>
      <c r="K27" s="74"/>
      <c r="L27" s="37"/>
      <c r="M27" s="99">
        <v>0.01</v>
      </c>
      <c r="N27" s="133">
        <f>N17*M27</f>
        <v>17150</v>
      </c>
      <c r="P27" s="178"/>
      <c r="Q27" s="178"/>
      <c r="R27" s="178"/>
      <c r="S27" s="106"/>
    </row>
    <row r="28" spans="2:25" x14ac:dyDescent="0.3">
      <c r="B28" t="str">
        <f>'Revenue Streams'!D107</f>
        <v>Total Other Income</v>
      </c>
      <c r="C28" s="82"/>
      <c r="D28" s="136">
        <f>'Revenue Streams'!AA107</f>
        <v>61400</v>
      </c>
      <c r="F28" s="241" t="s">
        <v>90</v>
      </c>
      <c r="G28" s="242"/>
      <c r="H28" s="39">
        <v>6000</v>
      </c>
      <c r="J28" s="74" t="s">
        <v>93</v>
      </c>
      <c r="K28" s="74"/>
      <c r="L28" s="74"/>
      <c r="M28" s="74"/>
      <c r="N28" s="79">
        <v>25000</v>
      </c>
    </row>
    <row r="29" spans="2:25" x14ac:dyDescent="0.3">
      <c r="B29" s="8" t="s">
        <v>243</v>
      </c>
      <c r="F29" s="175" t="s">
        <v>92</v>
      </c>
      <c r="G29" s="67"/>
      <c r="H29" s="39">
        <v>1887</v>
      </c>
      <c r="J29" s="74" t="s">
        <v>95</v>
      </c>
      <c r="K29" s="74"/>
      <c r="L29" s="74"/>
      <c r="M29" s="74"/>
      <c r="N29" s="79">
        <v>10000</v>
      </c>
    </row>
    <row r="30" spans="2:25" x14ac:dyDescent="0.3">
      <c r="B30" s="4" t="s">
        <v>244</v>
      </c>
      <c r="C30" s="82"/>
      <c r="D30" s="31">
        <f>'Revenue Streams'!AB99</f>
        <v>35880</v>
      </c>
      <c r="F30" s="175" t="s">
        <v>94</v>
      </c>
      <c r="G30" s="67"/>
      <c r="H30" s="39">
        <v>3000</v>
      </c>
      <c r="J30" s="74" t="s">
        <v>189</v>
      </c>
      <c r="K30" s="74"/>
      <c r="L30" s="74"/>
      <c r="M30" s="74"/>
      <c r="N30" s="79">
        <v>15000</v>
      </c>
    </row>
    <row r="31" spans="2:25" x14ac:dyDescent="0.3">
      <c r="B31" s="2"/>
      <c r="C31" s="2"/>
      <c r="D31" s="137"/>
      <c r="F31" s="175" t="s">
        <v>229</v>
      </c>
      <c r="G31" s="67"/>
      <c r="H31" s="39">
        <v>40000</v>
      </c>
      <c r="J31" s="157" t="s">
        <v>190</v>
      </c>
      <c r="K31" s="74"/>
      <c r="L31" s="74"/>
      <c r="M31" s="74"/>
      <c r="N31" s="79">
        <v>10000</v>
      </c>
      <c r="P31" s="75" t="s">
        <v>96</v>
      </c>
      <c r="Q31" s="75"/>
      <c r="R31" s="75"/>
      <c r="S31" s="5"/>
    </row>
    <row r="32" spans="2:25" ht="15" thickBot="1" x14ac:dyDescent="0.35">
      <c r="B32" t="s">
        <v>247</v>
      </c>
      <c r="D32" s="35">
        <v>0.03</v>
      </c>
      <c r="F32" t="s">
        <v>99</v>
      </c>
      <c r="H32" s="39">
        <v>2000</v>
      </c>
      <c r="J32" s="157" t="s">
        <v>192</v>
      </c>
      <c r="K32" s="74"/>
      <c r="L32" s="74"/>
      <c r="M32" s="74"/>
      <c r="N32" s="79">
        <v>5000</v>
      </c>
      <c r="P32" s="266" t="s">
        <v>97</v>
      </c>
      <c r="Q32" s="266"/>
      <c r="R32" s="266"/>
      <c r="S32" s="135">
        <v>7.4999999999999997E-2</v>
      </c>
    </row>
    <row r="33" spans="2:19" ht="15" thickBot="1" x14ac:dyDescent="0.35">
      <c r="D33" s="9"/>
      <c r="F33" t="s">
        <v>101</v>
      </c>
      <c r="G33" s="24">
        <v>7.0000000000000007E-2</v>
      </c>
      <c r="H33" s="102">
        <f>'Cash Flow 10 Yr'!E28</f>
        <v>38201.310000000005</v>
      </c>
      <c r="J33" s="74" t="s">
        <v>191</v>
      </c>
      <c r="K33" s="74"/>
      <c r="L33" s="74"/>
      <c r="N33" s="79">
        <v>3000</v>
      </c>
      <c r="P33" s="259" t="s">
        <v>98</v>
      </c>
      <c r="Q33" s="259"/>
      <c r="R33" s="259"/>
      <c r="S33" s="21">
        <v>0.05</v>
      </c>
    </row>
    <row r="34" spans="2:19" ht="15" thickBot="1" x14ac:dyDescent="0.35">
      <c r="D34" s="9"/>
      <c r="F34" t="s">
        <v>22</v>
      </c>
      <c r="G34" s="24">
        <v>0.01</v>
      </c>
      <c r="H34" s="102">
        <f>'Cash Flow 10 Yr'!E29</f>
        <v>5457.33</v>
      </c>
      <c r="J34" s="74" t="s">
        <v>102</v>
      </c>
      <c r="K34" s="74"/>
      <c r="L34" s="74"/>
      <c r="M34" s="74"/>
      <c r="N34" s="79">
        <v>10000</v>
      </c>
      <c r="P34" s="259" t="s">
        <v>100</v>
      </c>
      <c r="Q34" s="259"/>
      <c r="R34" s="259"/>
      <c r="S34" s="21">
        <v>0.02</v>
      </c>
    </row>
    <row r="35" spans="2:19" ht="15" thickBot="1" x14ac:dyDescent="0.35">
      <c r="D35" s="9"/>
      <c r="F35" t="s">
        <v>103</v>
      </c>
      <c r="G35" s="24">
        <v>0.05</v>
      </c>
      <c r="H35" s="102">
        <f>'Cash Flow 10 Yr'!E30</f>
        <v>27286.65</v>
      </c>
      <c r="J35" s="74" t="s">
        <v>237</v>
      </c>
      <c r="K35" s="74"/>
      <c r="L35" s="74"/>
      <c r="M35" s="74"/>
      <c r="N35" s="79">
        <v>15000</v>
      </c>
    </row>
    <row r="36" spans="2:19" ht="15" thickBot="1" x14ac:dyDescent="0.35">
      <c r="D36" s="238"/>
      <c r="F36" t="s">
        <v>104</v>
      </c>
      <c r="H36" s="40">
        <v>5000</v>
      </c>
      <c r="J36" s="74" t="s">
        <v>238</v>
      </c>
      <c r="K36" s="74"/>
      <c r="L36" s="74"/>
      <c r="M36" s="72"/>
      <c r="N36" s="79">
        <v>20000</v>
      </c>
    </row>
    <row r="37" spans="2:19" ht="15" thickBot="1" x14ac:dyDescent="0.35">
      <c r="D37" s="9"/>
      <c r="F37" t="s">
        <v>105</v>
      </c>
      <c r="H37" s="21">
        <v>0.02</v>
      </c>
      <c r="J37" s="64" t="s">
        <v>106</v>
      </c>
      <c r="K37" s="64"/>
      <c r="L37" s="64"/>
      <c r="M37" s="81">
        <v>0.02</v>
      </c>
      <c r="N37" s="104">
        <f>N26*M37</f>
        <v>49000</v>
      </c>
    </row>
    <row r="38" spans="2:19" x14ac:dyDescent="0.3">
      <c r="F38" t="s">
        <v>107</v>
      </c>
      <c r="H38" s="21">
        <v>0.08</v>
      </c>
      <c r="J38" s="64" t="s">
        <v>108</v>
      </c>
      <c r="K38" s="64"/>
      <c r="L38" s="64"/>
      <c r="M38" s="72"/>
      <c r="N38" s="105">
        <f>ROUNDUP(('Cash Flow 10 Yr'!E32+-'Cash Flow 10 Yr'!E39)/6,-1)</f>
        <v>69100</v>
      </c>
    </row>
    <row r="39" spans="2:19" x14ac:dyDescent="0.3">
      <c r="B39" s="9"/>
      <c r="C39" s="9"/>
      <c r="D39" s="131"/>
      <c r="J39" s="72" t="s">
        <v>117</v>
      </c>
      <c r="K39" s="72"/>
      <c r="L39" s="72"/>
      <c r="M39" s="72"/>
      <c r="N39" s="107">
        <f>SUM(N27:N38)</f>
        <v>248250</v>
      </c>
    </row>
    <row r="40" spans="2:19" x14ac:dyDescent="0.3">
      <c r="J40" s="72" t="s">
        <v>239</v>
      </c>
      <c r="N40" s="104">
        <f>SUM(N26,N39)</f>
        <v>2698250</v>
      </c>
    </row>
    <row r="41" spans="2:19" x14ac:dyDescent="0.3">
      <c r="J41" s="72" t="s">
        <v>240</v>
      </c>
      <c r="K41" s="72"/>
      <c r="L41" s="72"/>
      <c r="M41" s="72"/>
      <c r="N41" s="104">
        <f>N18</f>
        <v>983250</v>
      </c>
    </row>
  </sheetData>
  <mergeCells count="68">
    <mergeCell ref="P8:R8"/>
    <mergeCell ref="P7:R7"/>
    <mergeCell ref="J20:L20"/>
    <mergeCell ref="J21:L21"/>
    <mergeCell ref="J19:L19"/>
    <mergeCell ref="J12:L12"/>
    <mergeCell ref="J18:L18"/>
    <mergeCell ref="P12:R12"/>
    <mergeCell ref="P13:R13"/>
    <mergeCell ref="P14:R14"/>
    <mergeCell ref="J5:L5"/>
    <mergeCell ref="J14:L14"/>
    <mergeCell ref="J15:L15"/>
    <mergeCell ref="J16:L16"/>
    <mergeCell ref="J17:L17"/>
    <mergeCell ref="J6:L6"/>
    <mergeCell ref="J7:L7"/>
    <mergeCell ref="J8:L8"/>
    <mergeCell ref="J9:L9"/>
    <mergeCell ref="J10:L10"/>
    <mergeCell ref="J11:L11"/>
    <mergeCell ref="J13:L13"/>
    <mergeCell ref="J26:L26"/>
    <mergeCell ref="P5:R5"/>
    <mergeCell ref="P6:R6"/>
    <mergeCell ref="P9:R9"/>
    <mergeCell ref="P23:R23"/>
    <mergeCell ref="P19:R19"/>
    <mergeCell ref="P20:R20"/>
    <mergeCell ref="P15:R15"/>
    <mergeCell ref="P16:R16"/>
    <mergeCell ref="P17:R17"/>
    <mergeCell ref="P18:R18"/>
    <mergeCell ref="J23:L23"/>
    <mergeCell ref="J25:L25"/>
    <mergeCell ref="J24:L24"/>
    <mergeCell ref="P10:R10"/>
    <mergeCell ref="P11:R11"/>
    <mergeCell ref="T19:V19"/>
    <mergeCell ref="T6:V6"/>
    <mergeCell ref="T7:V7"/>
    <mergeCell ref="T8:V8"/>
    <mergeCell ref="T9:V9"/>
    <mergeCell ref="T10:V10"/>
    <mergeCell ref="T14:V14"/>
    <mergeCell ref="T15:V15"/>
    <mergeCell ref="T16:V16"/>
    <mergeCell ref="T11:V11"/>
    <mergeCell ref="T17:V17"/>
    <mergeCell ref="T18:V18"/>
    <mergeCell ref="T12:V12"/>
    <mergeCell ref="T13:V13"/>
    <mergeCell ref="P33:R33"/>
    <mergeCell ref="P34:R34"/>
    <mergeCell ref="P32:R32"/>
    <mergeCell ref="W6:Y6"/>
    <mergeCell ref="P24:R24"/>
    <mergeCell ref="P25:R25"/>
    <mergeCell ref="W13:Y13"/>
    <mergeCell ref="W14:Y14"/>
    <mergeCell ref="W15:Y15"/>
    <mergeCell ref="W16:Y16"/>
    <mergeCell ref="W7:Y7"/>
    <mergeCell ref="W8:Y8"/>
    <mergeCell ref="W9:Y9"/>
    <mergeCell ref="W10:Y10"/>
    <mergeCell ref="W11:Y11"/>
    <mergeCell ref="W12:Y12"/>
  </mergeCells>
  <pageMargins left="0.25" right="0.25" top="0.75" bottom="0.75" header="0.3" footer="0.3"/>
  <pageSetup paperSize="5" scale="52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7718-4991-49E8-9956-1C43FC703942}">
  <dimension ref="A1:AZ272"/>
  <sheetViews>
    <sheetView topLeftCell="A43" zoomScaleNormal="100" workbookViewId="0">
      <selection activeCell="AB101" sqref="AB101"/>
    </sheetView>
  </sheetViews>
  <sheetFormatPr defaultRowHeight="14.4" x14ac:dyDescent="0.3"/>
  <cols>
    <col min="1" max="4" width="1.6640625" customWidth="1"/>
    <col min="5" max="5" width="4.44140625" customWidth="1"/>
    <col min="6" max="10" width="1.6640625" customWidth="1"/>
    <col min="11" max="11" width="4" bestFit="1" customWidth="1"/>
    <col min="12" max="12" width="1.6640625" customWidth="1"/>
    <col min="13" max="13" width="3.109375" customWidth="1"/>
    <col min="14" max="19" width="1.6640625" customWidth="1"/>
    <col min="20" max="20" width="3.5546875" customWidth="1"/>
    <col min="21" max="25" width="1.6640625" customWidth="1"/>
    <col min="26" max="26" width="10.5546875" bestFit="1" customWidth="1"/>
    <col min="27" max="27" width="11.33203125" bestFit="1" customWidth="1"/>
    <col min="28" max="28" width="12.5546875" customWidth="1"/>
    <col min="29" max="29" width="12.109375" customWidth="1"/>
    <col min="30" max="30" width="9.5546875" bestFit="1" customWidth="1"/>
    <col min="31" max="31" width="11.33203125" bestFit="1" customWidth="1"/>
    <col min="32" max="32" width="9.5546875" bestFit="1" customWidth="1"/>
    <col min="33" max="33" width="11.33203125" bestFit="1" customWidth="1"/>
    <col min="34" max="37" width="11.109375" bestFit="1" customWidth="1"/>
    <col min="38" max="38" width="10.109375" bestFit="1" customWidth="1"/>
    <col min="39" max="39" width="11.6640625" bestFit="1" customWidth="1"/>
    <col min="40" max="40" width="10.109375" bestFit="1" customWidth="1"/>
  </cols>
  <sheetData>
    <row r="1" spans="1:37" x14ac:dyDescent="0.3">
      <c r="Z1" s="10"/>
    </row>
    <row r="2" spans="1:37" ht="21" x14ac:dyDescent="0.4">
      <c r="A2" s="8"/>
      <c r="B2" s="7"/>
      <c r="C2" s="7" t="s">
        <v>251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19"/>
      <c r="U2" s="8"/>
      <c r="V2" s="8"/>
      <c r="W2" s="8"/>
      <c r="X2" s="8"/>
      <c r="Y2" s="8"/>
      <c r="Z2" s="158"/>
      <c r="AA2" s="159">
        <v>44621</v>
      </c>
      <c r="AB2" s="159">
        <v>44986</v>
      </c>
      <c r="AC2" s="159">
        <v>45352</v>
      </c>
      <c r="AD2" s="159">
        <v>45717</v>
      </c>
      <c r="AE2" s="159">
        <v>46082</v>
      </c>
      <c r="AF2" s="159">
        <v>46447</v>
      </c>
      <c r="AG2" s="159">
        <v>46813</v>
      </c>
      <c r="AH2" s="159">
        <v>47178</v>
      </c>
      <c r="AI2" s="159">
        <v>47543</v>
      </c>
      <c r="AJ2" s="159">
        <v>47908</v>
      </c>
      <c r="AK2" s="159">
        <v>48274</v>
      </c>
    </row>
    <row r="3" spans="1:37" ht="18" x14ac:dyDescent="0.35">
      <c r="A3" s="8"/>
      <c r="C3" s="6" t="str">
        <f>'Dashboard Control'!B3</f>
        <v>Lake Bluff Campground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60" t="s">
        <v>195</v>
      </c>
      <c r="AA3" s="8">
        <v>1</v>
      </c>
      <c r="AB3" s="8">
        <v>13</v>
      </c>
      <c r="AC3" s="8">
        <v>25</v>
      </c>
      <c r="AD3" s="8">
        <v>37</v>
      </c>
      <c r="AE3" s="8">
        <v>49</v>
      </c>
      <c r="AF3" s="8">
        <v>61</v>
      </c>
      <c r="AG3" s="8">
        <v>73</v>
      </c>
      <c r="AH3" s="8">
        <v>85</v>
      </c>
      <c r="AI3" s="8">
        <v>97</v>
      </c>
      <c r="AJ3" s="8">
        <v>109</v>
      </c>
      <c r="AK3" s="8">
        <v>121</v>
      </c>
    </row>
    <row r="4" spans="1:37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161" t="s">
        <v>196</v>
      </c>
      <c r="AA4" s="90">
        <f>ROUNDUP(AA3/12,0)</f>
        <v>1</v>
      </c>
      <c r="AB4" s="90">
        <f t="shared" ref="AB4:AF4" si="0">ROUNDUP(AB3/12,0)</f>
        <v>2</v>
      </c>
      <c r="AC4" s="90">
        <f t="shared" si="0"/>
        <v>3</v>
      </c>
      <c r="AD4" s="90">
        <f t="shared" si="0"/>
        <v>4</v>
      </c>
      <c r="AE4" s="90">
        <f t="shared" si="0"/>
        <v>5</v>
      </c>
      <c r="AF4" s="90">
        <f t="shared" si="0"/>
        <v>6</v>
      </c>
      <c r="AG4" s="90">
        <f t="shared" ref="AG4:AK4" si="1">ROUNDUP(AG3/12,0)</f>
        <v>7</v>
      </c>
      <c r="AH4" s="90">
        <f t="shared" si="1"/>
        <v>8</v>
      </c>
      <c r="AI4" s="90">
        <f t="shared" si="1"/>
        <v>9</v>
      </c>
      <c r="AJ4" s="90">
        <f t="shared" si="1"/>
        <v>10</v>
      </c>
      <c r="AK4" s="90">
        <f t="shared" si="1"/>
        <v>11</v>
      </c>
    </row>
    <row r="5" spans="1:37" x14ac:dyDescent="0.3">
      <c r="A5" s="162" t="s">
        <v>216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Z5" s="10"/>
    </row>
    <row r="6" spans="1:37" x14ac:dyDescent="0.3">
      <c r="A6" s="8"/>
      <c r="B6" s="164" t="s">
        <v>197</v>
      </c>
      <c r="E6" s="164" t="s">
        <v>202</v>
      </c>
      <c r="Z6" s="10"/>
    </row>
    <row r="7" spans="1:37" x14ac:dyDescent="0.3">
      <c r="B7" t="s">
        <v>199</v>
      </c>
      <c r="E7">
        <v>1</v>
      </c>
      <c r="Z7" s="10"/>
      <c r="AA7" s="170">
        <v>2400</v>
      </c>
      <c r="AB7" s="171">
        <f>$AA7*((1+'Dashboard Control'!$D$32)^('Revenue Streams'!AA$4))</f>
        <v>2472</v>
      </c>
      <c r="AC7" s="171">
        <f>$AA7*((1+'Dashboard Control'!$D$32)^('Revenue Streams'!AB$4))</f>
        <v>2546.16</v>
      </c>
      <c r="AD7" s="171">
        <f>$AA7*((1+'Dashboard Control'!$D$32)^('Revenue Streams'!AC$4))</f>
        <v>2622.5448000000001</v>
      </c>
      <c r="AE7" s="171">
        <f>$AA7*((1+'Dashboard Control'!$D$32)^('Revenue Streams'!AD$4))</f>
        <v>2701.2211439999996</v>
      </c>
      <c r="AF7" s="171">
        <f>$AA7*((1+'Dashboard Control'!$D$32)^('Revenue Streams'!AE$4))</f>
        <v>2782.2577783199995</v>
      </c>
      <c r="AG7" s="171">
        <f>$AA7*((1+'Dashboard Control'!$D$32)^('Revenue Streams'!AF$4))</f>
        <v>2865.7255116695997</v>
      </c>
      <c r="AH7" s="171">
        <f>$AA7*((1+'Dashboard Control'!$D$32)^('Revenue Streams'!AG$4))</f>
        <v>2951.697277019688</v>
      </c>
      <c r="AI7" s="171">
        <f>$AA7*((1+'Dashboard Control'!$D$32)^('Revenue Streams'!AH$4))</f>
        <v>3040.2481953302781</v>
      </c>
      <c r="AJ7" s="171">
        <f>$AA7*((1+'Dashboard Control'!$D$32)^('Revenue Streams'!AI$4))</f>
        <v>3131.4556411901867</v>
      </c>
      <c r="AK7" s="171">
        <f>$AA7*((1+'Dashboard Control'!$D$32)^('Revenue Streams'!AJ$4))</f>
        <v>3225.3993104258921</v>
      </c>
    </row>
    <row r="8" spans="1:37" x14ac:dyDescent="0.3">
      <c r="B8" t="s">
        <v>199</v>
      </c>
      <c r="E8">
        <v>2</v>
      </c>
      <c r="Z8" s="10"/>
      <c r="AA8" s="170">
        <v>2400</v>
      </c>
      <c r="AB8" s="171">
        <f>$AA8*((1+'Dashboard Control'!$D$32)^('Revenue Streams'!AA$4))</f>
        <v>2472</v>
      </c>
      <c r="AC8" s="171">
        <f>$AA8*((1+'Dashboard Control'!$D$32)^('Revenue Streams'!AB$4))</f>
        <v>2546.16</v>
      </c>
      <c r="AD8" s="171">
        <f>$AA8*((1+'Dashboard Control'!$D$32)^('Revenue Streams'!AC$4))</f>
        <v>2622.5448000000001</v>
      </c>
      <c r="AE8" s="171">
        <f>$AA8*((1+'Dashboard Control'!$D$32)^('Revenue Streams'!AD$4))</f>
        <v>2701.2211439999996</v>
      </c>
      <c r="AF8" s="171">
        <f>$AA8*((1+'Dashboard Control'!$D$32)^('Revenue Streams'!AE$4))</f>
        <v>2782.2577783199995</v>
      </c>
      <c r="AG8" s="171">
        <f>$AA8*((1+'Dashboard Control'!$D$32)^('Revenue Streams'!AF$4))</f>
        <v>2865.7255116695997</v>
      </c>
      <c r="AH8" s="171">
        <f>$AA8*((1+'Dashboard Control'!$D$32)^('Revenue Streams'!AG$4))</f>
        <v>2951.697277019688</v>
      </c>
      <c r="AI8" s="171">
        <f>$AA8*((1+'Dashboard Control'!$D$32)^('Revenue Streams'!AH$4))</f>
        <v>3040.2481953302781</v>
      </c>
      <c r="AJ8" s="171">
        <f>$AA8*((1+'Dashboard Control'!$D$32)^('Revenue Streams'!AI$4))</f>
        <v>3131.4556411901867</v>
      </c>
      <c r="AK8" s="171">
        <f>$AA8*((1+'Dashboard Control'!$D$32)^('Revenue Streams'!AJ$4))</f>
        <v>3225.3993104258921</v>
      </c>
    </row>
    <row r="9" spans="1:37" x14ac:dyDescent="0.3">
      <c r="B9" t="s">
        <v>199</v>
      </c>
      <c r="E9">
        <v>3</v>
      </c>
      <c r="Z9" s="10"/>
      <c r="AA9" s="170">
        <v>2400</v>
      </c>
      <c r="AB9" s="171">
        <f>$AA9*((1+'Dashboard Control'!$D$32)^('Revenue Streams'!AA$4))</f>
        <v>2472</v>
      </c>
      <c r="AC9" s="171">
        <f>$AA9*((1+'Dashboard Control'!$D$32)^('Revenue Streams'!AB$4))</f>
        <v>2546.16</v>
      </c>
      <c r="AD9" s="171">
        <f>$AA9*((1+'Dashboard Control'!$D$32)^('Revenue Streams'!AC$4))</f>
        <v>2622.5448000000001</v>
      </c>
      <c r="AE9" s="171">
        <f>$AA9*((1+'Dashboard Control'!$D$32)^('Revenue Streams'!AD$4))</f>
        <v>2701.2211439999996</v>
      </c>
      <c r="AF9" s="171">
        <f>$AA9*((1+'Dashboard Control'!$D$32)^('Revenue Streams'!AE$4))</f>
        <v>2782.2577783199995</v>
      </c>
      <c r="AG9" s="171">
        <f>$AA9*((1+'Dashboard Control'!$D$32)^('Revenue Streams'!AF$4))</f>
        <v>2865.7255116695997</v>
      </c>
      <c r="AH9" s="171">
        <f>$AA9*((1+'Dashboard Control'!$D$32)^('Revenue Streams'!AG$4))</f>
        <v>2951.697277019688</v>
      </c>
      <c r="AI9" s="171">
        <f>$AA9*((1+'Dashboard Control'!$D$32)^('Revenue Streams'!AH$4))</f>
        <v>3040.2481953302781</v>
      </c>
      <c r="AJ9" s="171">
        <f>$AA9*((1+'Dashboard Control'!$D$32)^('Revenue Streams'!AI$4))</f>
        <v>3131.4556411901867</v>
      </c>
      <c r="AK9" s="171">
        <f>$AA9*((1+'Dashboard Control'!$D$32)^('Revenue Streams'!AJ$4))</f>
        <v>3225.3993104258921</v>
      </c>
    </row>
    <row r="10" spans="1:37" x14ac:dyDescent="0.3">
      <c r="B10" t="s">
        <v>199</v>
      </c>
      <c r="E10">
        <v>4</v>
      </c>
      <c r="Z10" s="10"/>
      <c r="AA10" s="170">
        <v>2400</v>
      </c>
      <c r="AB10" s="171">
        <f>$AA10*((1+'Dashboard Control'!$D$32)^('Revenue Streams'!AA$4))</f>
        <v>2472</v>
      </c>
      <c r="AC10" s="171">
        <f>$AA10*((1+'Dashboard Control'!$D$32)^('Revenue Streams'!AB$4))</f>
        <v>2546.16</v>
      </c>
      <c r="AD10" s="171">
        <f>$AA10*((1+'Dashboard Control'!$D$32)^('Revenue Streams'!AC$4))</f>
        <v>2622.5448000000001</v>
      </c>
      <c r="AE10" s="171">
        <f>$AA10*((1+'Dashboard Control'!$D$32)^('Revenue Streams'!AD$4))</f>
        <v>2701.2211439999996</v>
      </c>
      <c r="AF10" s="171">
        <f>$AA10*((1+'Dashboard Control'!$D$32)^('Revenue Streams'!AE$4))</f>
        <v>2782.2577783199995</v>
      </c>
      <c r="AG10" s="171">
        <f>$AA10*((1+'Dashboard Control'!$D$32)^('Revenue Streams'!AF$4))</f>
        <v>2865.7255116695997</v>
      </c>
      <c r="AH10" s="171">
        <f>$AA10*((1+'Dashboard Control'!$D$32)^('Revenue Streams'!AG$4))</f>
        <v>2951.697277019688</v>
      </c>
      <c r="AI10" s="171">
        <f>$AA10*((1+'Dashboard Control'!$D$32)^('Revenue Streams'!AH$4))</f>
        <v>3040.2481953302781</v>
      </c>
      <c r="AJ10" s="171">
        <f>$AA10*((1+'Dashboard Control'!$D$32)^('Revenue Streams'!AI$4))</f>
        <v>3131.4556411901867</v>
      </c>
      <c r="AK10" s="171">
        <f>$AA10*((1+'Dashboard Control'!$D$32)^('Revenue Streams'!AJ$4))</f>
        <v>3225.3993104258921</v>
      </c>
    </row>
    <row r="11" spans="1:37" x14ac:dyDescent="0.3">
      <c r="B11" t="s">
        <v>199</v>
      </c>
      <c r="E11">
        <v>5</v>
      </c>
      <c r="Z11" s="10"/>
      <c r="AA11" s="170">
        <v>2400</v>
      </c>
      <c r="AB11" s="171">
        <f>$AA11*((1+'Dashboard Control'!$D$32)^('Revenue Streams'!AA$4))</f>
        <v>2472</v>
      </c>
      <c r="AC11" s="171">
        <f>$AA11*((1+'Dashboard Control'!$D$32)^('Revenue Streams'!AB$4))</f>
        <v>2546.16</v>
      </c>
      <c r="AD11" s="171">
        <f>$AA11*((1+'Dashboard Control'!$D$32)^('Revenue Streams'!AC$4))</f>
        <v>2622.5448000000001</v>
      </c>
      <c r="AE11" s="171">
        <f>$AA11*((1+'Dashboard Control'!$D$32)^('Revenue Streams'!AD$4))</f>
        <v>2701.2211439999996</v>
      </c>
      <c r="AF11" s="171">
        <f>$AA11*((1+'Dashboard Control'!$D$32)^('Revenue Streams'!AE$4))</f>
        <v>2782.2577783199995</v>
      </c>
      <c r="AG11" s="171">
        <f>$AA11*((1+'Dashboard Control'!$D$32)^('Revenue Streams'!AF$4))</f>
        <v>2865.7255116695997</v>
      </c>
      <c r="AH11" s="171">
        <f>$AA11*((1+'Dashboard Control'!$D$32)^('Revenue Streams'!AG$4))</f>
        <v>2951.697277019688</v>
      </c>
      <c r="AI11" s="171">
        <f>$AA11*((1+'Dashboard Control'!$D$32)^('Revenue Streams'!AH$4))</f>
        <v>3040.2481953302781</v>
      </c>
      <c r="AJ11" s="171">
        <f>$AA11*((1+'Dashboard Control'!$D$32)^('Revenue Streams'!AI$4))</f>
        <v>3131.4556411901867</v>
      </c>
      <c r="AK11" s="171">
        <f>$AA11*((1+'Dashboard Control'!$D$32)^('Revenue Streams'!AJ$4))</f>
        <v>3225.3993104258921</v>
      </c>
    </row>
    <row r="12" spans="1:37" x14ac:dyDescent="0.3">
      <c r="B12" t="s">
        <v>199</v>
      </c>
      <c r="E12">
        <v>6</v>
      </c>
      <c r="Z12" s="10"/>
      <c r="AA12" s="170">
        <v>2400</v>
      </c>
      <c r="AB12" s="171">
        <f>$AA12*((1+'Dashboard Control'!$D$32)^('Revenue Streams'!AA$4))</f>
        <v>2472</v>
      </c>
      <c r="AC12" s="171">
        <f>$AA12*((1+'Dashboard Control'!$D$32)^('Revenue Streams'!AB$4))</f>
        <v>2546.16</v>
      </c>
      <c r="AD12" s="171">
        <f>$AA12*((1+'Dashboard Control'!$D$32)^('Revenue Streams'!AC$4))</f>
        <v>2622.5448000000001</v>
      </c>
      <c r="AE12" s="171">
        <f>$AA12*((1+'Dashboard Control'!$D$32)^('Revenue Streams'!AD$4))</f>
        <v>2701.2211439999996</v>
      </c>
      <c r="AF12" s="171">
        <f>$AA12*((1+'Dashboard Control'!$D$32)^('Revenue Streams'!AE$4))</f>
        <v>2782.2577783199995</v>
      </c>
      <c r="AG12" s="171">
        <f>$AA12*((1+'Dashboard Control'!$D$32)^('Revenue Streams'!AF$4))</f>
        <v>2865.7255116695997</v>
      </c>
      <c r="AH12" s="171">
        <f>$AA12*((1+'Dashboard Control'!$D$32)^('Revenue Streams'!AG$4))</f>
        <v>2951.697277019688</v>
      </c>
      <c r="AI12" s="171">
        <f>$AA12*((1+'Dashboard Control'!$D$32)^('Revenue Streams'!AH$4))</f>
        <v>3040.2481953302781</v>
      </c>
      <c r="AJ12" s="171">
        <f>$AA12*((1+'Dashboard Control'!$D$32)^('Revenue Streams'!AI$4))</f>
        <v>3131.4556411901867</v>
      </c>
      <c r="AK12" s="171">
        <f>$AA12*((1+'Dashboard Control'!$D$32)^('Revenue Streams'!AJ$4))</f>
        <v>3225.3993104258921</v>
      </c>
    </row>
    <row r="13" spans="1:37" x14ac:dyDescent="0.3">
      <c r="B13" t="s">
        <v>199</v>
      </c>
      <c r="E13">
        <v>7</v>
      </c>
      <c r="Z13" s="10"/>
      <c r="AA13" s="170">
        <v>2400</v>
      </c>
      <c r="AB13" s="171">
        <f>$AA13*((1+'Dashboard Control'!$D$32)^('Revenue Streams'!AA$4))</f>
        <v>2472</v>
      </c>
      <c r="AC13" s="171">
        <f>$AA13*((1+'Dashboard Control'!$D$32)^('Revenue Streams'!AB$4))</f>
        <v>2546.16</v>
      </c>
      <c r="AD13" s="171">
        <f>$AA13*((1+'Dashboard Control'!$D$32)^('Revenue Streams'!AC$4))</f>
        <v>2622.5448000000001</v>
      </c>
      <c r="AE13" s="171">
        <f>$AA13*((1+'Dashboard Control'!$D$32)^('Revenue Streams'!AD$4))</f>
        <v>2701.2211439999996</v>
      </c>
      <c r="AF13" s="171">
        <f>$AA13*((1+'Dashboard Control'!$D$32)^('Revenue Streams'!AE$4))</f>
        <v>2782.2577783199995</v>
      </c>
      <c r="AG13" s="171">
        <f>$AA13*((1+'Dashboard Control'!$D$32)^('Revenue Streams'!AF$4))</f>
        <v>2865.7255116695997</v>
      </c>
      <c r="AH13" s="171">
        <f>$AA13*((1+'Dashboard Control'!$D$32)^('Revenue Streams'!AG$4))</f>
        <v>2951.697277019688</v>
      </c>
      <c r="AI13" s="171">
        <f>$AA13*((1+'Dashboard Control'!$D$32)^('Revenue Streams'!AH$4))</f>
        <v>3040.2481953302781</v>
      </c>
      <c r="AJ13" s="171">
        <f>$AA13*((1+'Dashboard Control'!$D$32)^('Revenue Streams'!AI$4))</f>
        <v>3131.4556411901867</v>
      </c>
      <c r="AK13" s="171">
        <f>$AA13*((1+'Dashboard Control'!$D$32)^('Revenue Streams'!AJ$4))</f>
        <v>3225.3993104258921</v>
      </c>
    </row>
    <row r="14" spans="1:37" x14ac:dyDescent="0.3">
      <c r="B14" t="s">
        <v>199</v>
      </c>
      <c r="E14">
        <v>8</v>
      </c>
      <c r="Z14" s="10"/>
      <c r="AA14" s="170">
        <v>2400</v>
      </c>
      <c r="AB14" s="171">
        <f>$AA14*((1+'Dashboard Control'!$D$32)^('Revenue Streams'!AA$4))</f>
        <v>2472</v>
      </c>
      <c r="AC14" s="171">
        <f>$AA14*((1+'Dashboard Control'!$D$32)^('Revenue Streams'!AB$4))</f>
        <v>2546.16</v>
      </c>
      <c r="AD14" s="171">
        <f>$AA14*((1+'Dashboard Control'!$D$32)^('Revenue Streams'!AC$4))</f>
        <v>2622.5448000000001</v>
      </c>
      <c r="AE14" s="171">
        <f>$AA14*((1+'Dashboard Control'!$D$32)^('Revenue Streams'!AD$4))</f>
        <v>2701.2211439999996</v>
      </c>
      <c r="AF14" s="171">
        <f>$AA14*((1+'Dashboard Control'!$D$32)^('Revenue Streams'!AE$4))</f>
        <v>2782.2577783199995</v>
      </c>
      <c r="AG14" s="171">
        <f>$AA14*((1+'Dashboard Control'!$D$32)^('Revenue Streams'!AF$4))</f>
        <v>2865.7255116695997</v>
      </c>
      <c r="AH14" s="171">
        <f>$AA14*((1+'Dashboard Control'!$D$32)^('Revenue Streams'!AG$4))</f>
        <v>2951.697277019688</v>
      </c>
      <c r="AI14" s="171">
        <f>$AA14*((1+'Dashboard Control'!$D$32)^('Revenue Streams'!AH$4))</f>
        <v>3040.2481953302781</v>
      </c>
      <c r="AJ14" s="171">
        <f>$AA14*((1+'Dashboard Control'!$D$32)^('Revenue Streams'!AI$4))</f>
        <v>3131.4556411901867</v>
      </c>
      <c r="AK14" s="171">
        <f>$AA14*((1+'Dashboard Control'!$D$32)^('Revenue Streams'!AJ$4))</f>
        <v>3225.3993104258921</v>
      </c>
    </row>
    <row r="15" spans="1:37" x14ac:dyDescent="0.3">
      <c r="B15" t="s">
        <v>199</v>
      </c>
      <c r="E15">
        <v>9</v>
      </c>
      <c r="Z15" s="10"/>
      <c r="AA15" s="170">
        <v>2400</v>
      </c>
      <c r="AB15" s="171">
        <f>$AA15*((1+'Dashboard Control'!$D$32)^('Revenue Streams'!AA$4))</f>
        <v>2472</v>
      </c>
      <c r="AC15" s="171">
        <f>$AA15*((1+'Dashboard Control'!$D$32)^('Revenue Streams'!AB$4))</f>
        <v>2546.16</v>
      </c>
      <c r="AD15" s="171">
        <f>$AA15*((1+'Dashboard Control'!$D$32)^('Revenue Streams'!AC$4))</f>
        <v>2622.5448000000001</v>
      </c>
      <c r="AE15" s="171">
        <f>$AA15*((1+'Dashboard Control'!$D$32)^('Revenue Streams'!AD$4))</f>
        <v>2701.2211439999996</v>
      </c>
      <c r="AF15" s="171">
        <f>$AA15*((1+'Dashboard Control'!$D$32)^('Revenue Streams'!AE$4))</f>
        <v>2782.2577783199995</v>
      </c>
      <c r="AG15" s="171">
        <f>$AA15*((1+'Dashboard Control'!$D$32)^('Revenue Streams'!AF$4))</f>
        <v>2865.7255116695997</v>
      </c>
      <c r="AH15" s="171">
        <f>$AA15*((1+'Dashboard Control'!$D$32)^('Revenue Streams'!AG$4))</f>
        <v>2951.697277019688</v>
      </c>
      <c r="AI15" s="171">
        <f>$AA15*((1+'Dashboard Control'!$D$32)^('Revenue Streams'!AH$4))</f>
        <v>3040.2481953302781</v>
      </c>
      <c r="AJ15" s="171">
        <f>$AA15*((1+'Dashboard Control'!$D$32)^('Revenue Streams'!AI$4))</f>
        <v>3131.4556411901867</v>
      </c>
      <c r="AK15" s="171">
        <f>$AA15*((1+'Dashboard Control'!$D$32)^('Revenue Streams'!AJ$4))</f>
        <v>3225.3993104258921</v>
      </c>
    </row>
    <row r="16" spans="1:37" x14ac:dyDescent="0.3">
      <c r="B16" t="s">
        <v>199</v>
      </c>
      <c r="E16">
        <v>10</v>
      </c>
      <c r="Z16" s="10"/>
      <c r="AA16" s="170">
        <v>2400</v>
      </c>
      <c r="AB16" s="171">
        <f>$AA16*((1+'Dashboard Control'!$D$32)^('Revenue Streams'!AA$4))</f>
        <v>2472</v>
      </c>
      <c r="AC16" s="171">
        <f>$AA16*((1+'Dashboard Control'!$D$32)^('Revenue Streams'!AB$4))</f>
        <v>2546.16</v>
      </c>
      <c r="AD16" s="171">
        <f>$AA16*((1+'Dashboard Control'!$D$32)^('Revenue Streams'!AC$4))</f>
        <v>2622.5448000000001</v>
      </c>
      <c r="AE16" s="171">
        <f>$AA16*((1+'Dashboard Control'!$D$32)^('Revenue Streams'!AD$4))</f>
        <v>2701.2211439999996</v>
      </c>
      <c r="AF16" s="171">
        <f>$AA16*((1+'Dashboard Control'!$D$32)^('Revenue Streams'!AE$4))</f>
        <v>2782.2577783199995</v>
      </c>
      <c r="AG16" s="171">
        <f>$AA16*((1+'Dashboard Control'!$D$32)^('Revenue Streams'!AF$4))</f>
        <v>2865.7255116695997</v>
      </c>
      <c r="AH16" s="171">
        <f>$AA16*((1+'Dashboard Control'!$D$32)^('Revenue Streams'!AG$4))</f>
        <v>2951.697277019688</v>
      </c>
      <c r="AI16" s="171">
        <f>$AA16*((1+'Dashboard Control'!$D$32)^('Revenue Streams'!AH$4))</f>
        <v>3040.2481953302781</v>
      </c>
      <c r="AJ16" s="171">
        <f>$AA16*((1+'Dashboard Control'!$D$32)^('Revenue Streams'!AI$4))</f>
        <v>3131.4556411901867</v>
      </c>
      <c r="AK16" s="171">
        <f>$AA16*((1+'Dashboard Control'!$D$32)^('Revenue Streams'!AJ$4))</f>
        <v>3225.3993104258921</v>
      </c>
    </row>
    <row r="17" spans="2:37" x14ac:dyDescent="0.3">
      <c r="B17" t="s">
        <v>199</v>
      </c>
      <c r="E17">
        <v>11</v>
      </c>
      <c r="Z17" s="10"/>
      <c r="AA17" s="170">
        <v>2400</v>
      </c>
      <c r="AB17" s="171">
        <f>$AA17*((1+'Dashboard Control'!$D$32)^('Revenue Streams'!AA$4))</f>
        <v>2472</v>
      </c>
      <c r="AC17" s="171">
        <f>$AA17*((1+'Dashboard Control'!$D$32)^('Revenue Streams'!AB$4))</f>
        <v>2546.16</v>
      </c>
      <c r="AD17" s="171">
        <f>$AA17*((1+'Dashboard Control'!$D$32)^('Revenue Streams'!AC$4))</f>
        <v>2622.5448000000001</v>
      </c>
      <c r="AE17" s="171">
        <f>$AA17*((1+'Dashboard Control'!$D$32)^('Revenue Streams'!AD$4))</f>
        <v>2701.2211439999996</v>
      </c>
      <c r="AF17" s="171">
        <f>$AA17*((1+'Dashboard Control'!$D$32)^('Revenue Streams'!AE$4))</f>
        <v>2782.2577783199995</v>
      </c>
      <c r="AG17" s="171">
        <f>$AA17*((1+'Dashboard Control'!$D$32)^('Revenue Streams'!AF$4))</f>
        <v>2865.7255116695997</v>
      </c>
      <c r="AH17" s="171">
        <f>$AA17*((1+'Dashboard Control'!$D$32)^('Revenue Streams'!AG$4))</f>
        <v>2951.697277019688</v>
      </c>
      <c r="AI17" s="171">
        <f>$AA17*((1+'Dashboard Control'!$D$32)^('Revenue Streams'!AH$4))</f>
        <v>3040.2481953302781</v>
      </c>
      <c r="AJ17" s="171">
        <f>$AA17*((1+'Dashboard Control'!$D$32)^('Revenue Streams'!AI$4))</f>
        <v>3131.4556411901867</v>
      </c>
      <c r="AK17" s="171">
        <f>$AA17*((1+'Dashboard Control'!$D$32)^('Revenue Streams'!AJ$4))</f>
        <v>3225.3993104258921</v>
      </c>
    </row>
    <row r="18" spans="2:37" x14ac:dyDescent="0.3">
      <c r="B18" t="s">
        <v>199</v>
      </c>
      <c r="E18">
        <v>12</v>
      </c>
      <c r="Z18" s="10"/>
      <c r="AA18" s="170">
        <v>2400</v>
      </c>
      <c r="AB18" s="171">
        <f>$AA18*((1+'Dashboard Control'!$D$32)^('Revenue Streams'!AA$4))</f>
        <v>2472</v>
      </c>
      <c r="AC18" s="171">
        <f>$AA18*((1+'Dashboard Control'!$D$32)^('Revenue Streams'!AB$4))</f>
        <v>2546.16</v>
      </c>
      <c r="AD18" s="171">
        <f>$AA18*((1+'Dashboard Control'!$D$32)^('Revenue Streams'!AC$4))</f>
        <v>2622.5448000000001</v>
      </c>
      <c r="AE18" s="171">
        <f>$AA18*((1+'Dashboard Control'!$D$32)^('Revenue Streams'!AD$4))</f>
        <v>2701.2211439999996</v>
      </c>
      <c r="AF18" s="171">
        <f>$AA18*((1+'Dashboard Control'!$D$32)^('Revenue Streams'!AE$4))</f>
        <v>2782.2577783199995</v>
      </c>
      <c r="AG18" s="171">
        <f>$AA18*((1+'Dashboard Control'!$D$32)^('Revenue Streams'!AF$4))</f>
        <v>2865.7255116695997</v>
      </c>
      <c r="AH18" s="171">
        <f>$AA18*((1+'Dashboard Control'!$D$32)^('Revenue Streams'!AG$4))</f>
        <v>2951.697277019688</v>
      </c>
      <c r="AI18" s="171">
        <f>$AA18*((1+'Dashboard Control'!$D$32)^('Revenue Streams'!AH$4))</f>
        <v>3040.2481953302781</v>
      </c>
      <c r="AJ18" s="171">
        <f>$AA18*((1+'Dashboard Control'!$D$32)^('Revenue Streams'!AI$4))</f>
        <v>3131.4556411901867</v>
      </c>
      <c r="AK18" s="171">
        <f>$AA18*((1+'Dashboard Control'!$D$32)^('Revenue Streams'!AJ$4))</f>
        <v>3225.3993104258921</v>
      </c>
    </row>
    <row r="19" spans="2:37" x14ac:dyDescent="0.3">
      <c r="B19" t="s">
        <v>199</v>
      </c>
      <c r="E19">
        <v>13</v>
      </c>
      <c r="Z19" s="10"/>
      <c r="AA19" s="170">
        <v>2400</v>
      </c>
      <c r="AB19" s="171">
        <f>$AA19*((1+'Dashboard Control'!$D$32)^('Revenue Streams'!AA$4))</f>
        <v>2472</v>
      </c>
      <c r="AC19" s="171">
        <f>$AA19*((1+'Dashboard Control'!$D$32)^('Revenue Streams'!AB$4))</f>
        <v>2546.16</v>
      </c>
      <c r="AD19" s="171">
        <f>$AA19*((1+'Dashboard Control'!$D$32)^('Revenue Streams'!AC$4))</f>
        <v>2622.5448000000001</v>
      </c>
      <c r="AE19" s="171">
        <f>$AA19*((1+'Dashboard Control'!$D$32)^('Revenue Streams'!AD$4))</f>
        <v>2701.2211439999996</v>
      </c>
      <c r="AF19" s="171">
        <f>$AA19*((1+'Dashboard Control'!$D$32)^('Revenue Streams'!AE$4))</f>
        <v>2782.2577783199995</v>
      </c>
      <c r="AG19" s="171">
        <f>$AA19*((1+'Dashboard Control'!$D$32)^('Revenue Streams'!AF$4))</f>
        <v>2865.7255116695997</v>
      </c>
      <c r="AH19" s="171">
        <f>$AA19*((1+'Dashboard Control'!$D$32)^('Revenue Streams'!AG$4))</f>
        <v>2951.697277019688</v>
      </c>
      <c r="AI19" s="171">
        <f>$AA19*((1+'Dashboard Control'!$D$32)^('Revenue Streams'!AH$4))</f>
        <v>3040.2481953302781</v>
      </c>
      <c r="AJ19" s="171">
        <f>$AA19*((1+'Dashboard Control'!$D$32)^('Revenue Streams'!AI$4))</f>
        <v>3131.4556411901867</v>
      </c>
      <c r="AK19" s="171">
        <f>$AA19*((1+'Dashboard Control'!$D$32)^('Revenue Streams'!AJ$4))</f>
        <v>3225.3993104258921</v>
      </c>
    </row>
    <row r="20" spans="2:37" x14ac:dyDescent="0.3">
      <c r="B20" t="s">
        <v>199</v>
      </c>
      <c r="E20">
        <v>14</v>
      </c>
      <c r="Z20" s="10"/>
      <c r="AA20" s="170">
        <v>2400</v>
      </c>
      <c r="AB20" s="171">
        <f>$AA20*((1+'Dashboard Control'!$D$32)^('Revenue Streams'!AA$4))</f>
        <v>2472</v>
      </c>
      <c r="AC20" s="171">
        <f>$AA20*((1+'Dashboard Control'!$D$32)^('Revenue Streams'!AB$4))</f>
        <v>2546.16</v>
      </c>
      <c r="AD20" s="171">
        <f>$AA20*((1+'Dashboard Control'!$D$32)^('Revenue Streams'!AC$4))</f>
        <v>2622.5448000000001</v>
      </c>
      <c r="AE20" s="171">
        <f>$AA20*((1+'Dashboard Control'!$D$32)^('Revenue Streams'!AD$4))</f>
        <v>2701.2211439999996</v>
      </c>
      <c r="AF20" s="171">
        <f>$AA20*((1+'Dashboard Control'!$D$32)^('Revenue Streams'!AE$4))</f>
        <v>2782.2577783199995</v>
      </c>
      <c r="AG20" s="171">
        <f>$AA20*((1+'Dashboard Control'!$D$32)^('Revenue Streams'!AF$4))</f>
        <v>2865.7255116695997</v>
      </c>
      <c r="AH20" s="171">
        <f>$AA20*((1+'Dashboard Control'!$D$32)^('Revenue Streams'!AG$4))</f>
        <v>2951.697277019688</v>
      </c>
      <c r="AI20" s="171">
        <f>$AA20*((1+'Dashboard Control'!$D$32)^('Revenue Streams'!AH$4))</f>
        <v>3040.2481953302781</v>
      </c>
      <c r="AJ20" s="171">
        <f>$AA20*((1+'Dashboard Control'!$D$32)^('Revenue Streams'!AI$4))</f>
        <v>3131.4556411901867</v>
      </c>
      <c r="AK20" s="171">
        <f>$AA20*((1+'Dashboard Control'!$D$32)^('Revenue Streams'!AJ$4))</f>
        <v>3225.3993104258921</v>
      </c>
    </row>
    <row r="21" spans="2:37" x14ac:dyDescent="0.3">
      <c r="B21" t="s">
        <v>199</v>
      </c>
      <c r="E21">
        <v>15</v>
      </c>
      <c r="Z21" s="10"/>
      <c r="AA21" s="170">
        <v>2400</v>
      </c>
      <c r="AB21" s="171">
        <f>$AA21*((1+'Dashboard Control'!$D$32)^('Revenue Streams'!AA$4))</f>
        <v>2472</v>
      </c>
      <c r="AC21" s="171">
        <f>$AA21*((1+'Dashboard Control'!$D$32)^('Revenue Streams'!AB$4))</f>
        <v>2546.16</v>
      </c>
      <c r="AD21" s="171">
        <f>$AA21*((1+'Dashboard Control'!$D$32)^('Revenue Streams'!AC$4))</f>
        <v>2622.5448000000001</v>
      </c>
      <c r="AE21" s="171">
        <f>$AA21*((1+'Dashboard Control'!$D$32)^('Revenue Streams'!AD$4))</f>
        <v>2701.2211439999996</v>
      </c>
      <c r="AF21" s="171">
        <f>$AA21*((1+'Dashboard Control'!$D$32)^('Revenue Streams'!AE$4))</f>
        <v>2782.2577783199995</v>
      </c>
      <c r="AG21" s="171">
        <f>$AA21*((1+'Dashboard Control'!$D$32)^('Revenue Streams'!AF$4))</f>
        <v>2865.7255116695997</v>
      </c>
      <c r="AH21" s="171">
        <f>$AA21*((1+'Dashboard Control'!$D$32)^('Revenue Streams'!AG$4))</f>
        <v>2951.697277019688</v>
      </c>
      <c r="AI21" s="171">
        <f>$AA21*((1+'Dashboard Control'!$D$32)^('Revenue Streams'!AH$4))</f>
        <v>3040.2481953302781</v>
      </c>
      <c r="AJ21" s="171">
        <f>$AA21*((1+'Dashboard Control'!$D$32)^('Revenue Streams'!AI$4))</f>
        <v>3131.4556411901867</v>
      </c>
      <c r="AK21" s="171">
        <f>$AA21*((1+'Dashboard Control'!$D$32)^('Revenue Streams'!AJ$4))</f>
        <v>3225.3993104258921</v>
      </c>
    </row>
    <row r="22" spans="2:37" x14ac:dyDescent="0.3">
      <c r="B22" t="s">
        <v>199</v>
      </c>
      <c r="E22">
        <v>16</v>
      </c>
      <c r="Z22" s="10"/>
      <c r="AA22" s="170">
        <v>2400</v>
      </c>
      <c r="AB22" s="171">
        <f>$AA22*((1+'Dashboard Control'!$D$32)^('Revenue Streams'!AA$4))</f>
        <v>2472</v>
      </c>
      <c r="AC22" s="171">
        <f>$AA22*((1+'Dashboard Control'!$D$32)^('Revenue Streams'!AB$4))</f>
        <v>2546.16</v>
      </c>
      <c r="AD22" s="171">
        <f>$AA22*((1+'Dashboard Control'!$D$32)^('Revenue Streams'!AC$4))</f>
        <v>2622.5448000000001</v>
      </c>
      <c r="AE22" s="171">
        <f>$AA22*((1+'Dashboard Control'!$D$32)^('Revenue Streams'!AD$4))</f>
        <v>2701.2211439999996</v>
      </c>
      <c r="AF22" s="171">
        <f>$AA22*((1+'Dashboard Control'!$D$32)^('Revenue Streams'!AE$4))</f>
        <v>2782.2577783199995</v>
      </c>
      <c r="AG22" s="171">
        <f>$AA22*((1+'Dashboard Control'!$D$32)^('Revenue Streams'!AF$4))</f>
        <v>2865.7255116695997</v>
      </c>
      <c r="AH22" s="171">
        <f>$AA22*((1+'Dashboard Control'!$D$32)^('Revenue Streams'!AG$4))</f>
        <v>2951.697277019688</v>
      </c>
      <c r="AI22" s="171">
        <f>$AA22*((1+'Dashboard Control'!$D$32)^('Revenue Streams'!AH$4))</f>
        <v>3040.2481953302781</v>
      </c>
      <c r="AJ22" s="171">
        <f>$AA22*((1+'Dashboard Control'!$D$32)^('Revenue Streams'!AI$4))</f>
        <v>3131.4556411901867</v>
      </c>
      <c r="AK22" s="171">
        <f>$AA22*((1+'Dashboard Control'!$D$32)^('Revenue Streams'!AJ$4))</f>
        <v>3225.3993104258921</v>
      </c>
    </row>
    <row r="23" spans="2:37" x14ac:dyDescent="0.3">
      <c r="B23" t="s">
        <v>199</v>
      </c>
      <c r="E23">
        <v>17</v>
      </c>
      <c r="Z23" s="10"/>
      <c r="AA23" s="170">
        <v>2400</v>
      </c>
      <c r="AB23" s="171">
        <f>$AA23*((1+'Dashboard Control'!$D$32)^('Revenue Streams'!AA$4))</f>
        <v>2472</v>
      </c>
      <c r="AC23" s="171">
        <f>$AA23*((1+'Dashboard Control'!$D$32)^('Revenue Streams'!AB$4))</f>
        <v>2546.16</v>
      </c>
      <c r="AD23" s="171">
        <f>$AA23*((1+'Dashboard Control'!$D$32)^('Revenue Streams'!AC$4))</f>
        <v>2622.5448000000001</v>
      </c>
      <c r="AE23" s="171">
        <f>$AA23*((1+'Dashboard Control'!$D$32)^('Revenue Streams'!AD$4))</f>
        <v>2701.2211439999996</v>
      </c>
      <c r="AF23" s="171">
        <f>$AA23*((1+'Dashboard Control'!$D$32)^('Revenue Streams'!AE$4))</f>
        <v>2782.2577783199995</v>
      </c>
      <c r="AG23" s="171">
        <f>$AA23*((1+'Dashboard Control'!$D$32)^('Revenue Streams'!AF$4))</f>
        <v>2865.7255116695997</v>
      </c>
      <c r="AH23" s="171">
        <f>$AA23*((1+'Dashboard Control'!$D$32)^('Revenue Streams'!AG$4))</f>
        <v>2951.697277019688</v>
      </c>
      <c r="AI23" s="171">
        <f>$AA23*((1+'Dashboard Control'!$D$32)^('Revenue Streams'!AH$4))</f>
        <v>3040.2481953302781</v>
      </c>
      <c r="AJ23" s="171">
        <f>$AA23*((1+'Dashboard Control'!$D$32)^('Revenue Streams'!AI$4))</f>
        <v>3131.4556411901867</v>
      </c>
      <c r="AK23" s="171">
        <f>$AA23*((1+'Dashboard Control'!$D$32)^('Revenue Streams'!AJ$4))</f>
        <v>3225.3993104258921</v>
      </c>
    </row>
    <row r="24" spans="2:37" x14ac:dyDescent="0.3">
      <c r="B24" t="s">
        <v>199</v>
      </c>
      <c r="E24">
        <v>18</v>
      </c>
      <c r="Z24" s="10"/>
      <c r="AA24" s="170">
        <v>2400</v>
      </c>
      <c r="AB24" s="171">
        <f>$AA24*((1+'Dashboard Control'!$D$32)^('Revenue Streams'!AA$4))</f>
        <v>2472</v>
      </c>
      <c r="AC24" s="171">
        <f>$AA24*((1+'Dashboard Control'!$D$32)^('Revenue Streams'!AB$4))</f>
        <v>2546.16</v>
      </c>
      <c r="AD24" s="171">
        <f>$AA24*((1+'Dashboard Control'!$D$32)^('Revenue Streams'!AC$4))</f>
        <v>2622.5448000000001</v>
      </c>
      <c r="AE24" s="171">
        <f>$AA24*((1+'Dashboard Control'!$D$32)^('Revenue Streams'!AD$4))</f>
        <v>2701.2211439999996</v>
      </c>
      <c r="AF24" s="171">
        <f>$AA24*((1+'Dashboard Control'!$D$32)^('Revenue Streams'!AE$4))</f>
        <v>2782.2577783199995</v>
      </c>
      <c r="AG24" s="171">
        <f>$AA24*((1+'Dashboard Control'!$D$32)^('Revenue Streams'!AF$4))</f>
        <v>2865.7255116695997</v>
      </c>
      <c r="AH24" s="171">
        <f>$AA24*((1+'Dashboard Control'!$D$32)^('Revenue Streams'!AG$4))</f>
        <v>2951.697277019688</v>
      </c>
      <c r="AI24" s="171">
        <f>$AA24*((1+'Dashboard Control'!$D$32)^('Revenue Streams'!AH$4))</f>
        <v>3040.2481953302781</v>
      </c>
      <c r="AJ24" s="171">
        <f>$AA24*((1+'Dashboard Control'!$D$32)^('Revenue Streams'!AI$4))</f>
        <v>3131.4556411901867</v>
      </c>
      <c r="AK24" s="171">
        <f>$AA24*((1+'Dashboard Control'!$D$32)^('Revenue Streams'!AJ$4))</f>
        <v>3225.3993104258921</v>
      </c>
    </row>
    <row r="25" spans="2:37" x14ac:dyDescent="0.3">
      <c r="B25" t="s">
        <v>199</v>
      </c>
      <c r="E25">
        <v>19</v>
      </c>
      <c r="Z25" s="10"/>
      <c r="AA25" s="170">
        <v>2400</v>
      </c>
      <c r="AB25" s="171">
        <f>$AA25*((1+'Dashboard Control'!$D$32)^('Revenue Streams'!AA$4))</f>
        <v>2472</v>
      </c>
      <c r="AC25" s="171">
        <f>$AA25*((1+'Dashboard Control'!$D$32)^('Revenue Streams'!AB$4))</f>
        <v>2546.16</v>
      </c>
      <c r="AD25" s="171">
        <f>$AA25*((1+'Dashboard Control'!$D$32)^('Revenue Streams'!AC$4))</f>
        <v>2622.5448000000001</v>
      </c>
      <c r="AE25" s="171">
        <f>$AA25*((1+'Dashboard Control'!$D$32)^('Revenue Streams'!AD$4))</f>
        <v>2701.2211439999996</v>
      </c>
      <c r="AF25" s="171">
        <f>$AA25*((1+'Dashboard Control'!$D$32)^('Revenue Streams'!AE$4))</f>
        <v>2782.2577783199995</v>
      </c>
      <c r="AG25" s="171">
        <f>$AA25*((1+'Dashboard Control'!$D$32)^('Revenue Streams'!AF$4))</f>
        <v>2865.7255116695997</v>
      </c>
      <c r="AH25" s="171">
        <f>$AA25*((1+'Dashboard Control'!$D$32)^('Revenue Streams'!AG$4))</f>
        <v>2951.697277019688</v>
      </c>
      <c r="AI25" s="171">
        <f>$AA25*((1+'Dashboard Control'!$D$32)^('Revenue Streams'!AH$4))</f>
        <v>3040.2481953302781</v>
      </c>
      <c r="AJ25" s="171">
        <f>$AA25*((1+'Dashboard Control'!$D$32)^('Revenue Streams'!AI$4))</f>
        <v>3131.4556411901867</v>
      </c>
      <c r="AK25" s="171">
        <f>$AA25*((1+'Dashboard Control'!$D$32)^('Revenue Streams'!AJ$4))</f>
        <v>3225.3993104258921</v>
      </c>
    </row>
    <row r="26" spans="2:37" x14ac:dyDescent="0.3">
      <c r="B26" t="s">
        <v>199</v>
      </c>
      <c r="E26">
        <v>20</v>
      </c>
      <c r="Z26" s="10"/>
      <c r="AA26" s="170">
        <v>2400</v>
      </c>
      <c r="AB26" s="171">
        <f>$AA26*((1+'Dashboard Control'!$D$32)^('Revenue Streams'!AA$4))</f>
        <v>2472</v>
      </c>
      <c r="AC26" s="171">
        <f>$AA26*((1+'Dashboard Control'!$D$32)^('Revenue Streams'!AB$4))</f>
        <v>2546.16</v>
      </c>
      <c r="AD26" s="171">
        <f>$AA26*((1+'Dashboard Control'!$D$32)^('Revenue Streams'!AC$4))</f>
        <v>2622.5448000000001</v>
      </c>
      <c r="AE26" s="171">
        <f>$AA26*((1+'Dashboard Control'!$D$32)^('Revenue Streams'!AD$4))</f>
        <v>2701.2211439999996</v>
      </c>
      <c r="AF26" s="171">
        <f>$AA26*((1+'Dashboard Control'!$D$32)^('Revenue Streams'!AE$4))</f>
        <v>2782.2577783199995</v>
      </c>
      <c r="AG26" s="171">
        <f>$AA26*((1+'Dashboard Control'!$D$32)^('Revenue Streams'!AF$4))</f>
        <v>2865.7255116695997</v>
      </c>
      <c r="AH26" s="171">
        <f>$AA26*((1+'Dashboard Control'!$D$32)^('Revenue Streams'!AG$4))</f>
        <v>2951.697277019688</v>
      </c>
      <c r="AI26" s="171">
        <f>$AA26*((1+'Dashboard Control'!$D$32)^('Revenue Streams'!AH$4))</f>
        <v>3040.2481953302781</v>
      </c>
      <c r="AJ26" s="171">
        <f>$AA26*((1+'Dashboard Control'!$D$32)^('Revenue Streams'!AI$4))</f>
        <v>3131.4556411901867</v>
      </c>
      <c r="AK26" s="171">
        <f>$AA26*((1+'Dashboard Control'!$D$32)^('Revenue Streams'!AJ$4))</f>
        <v>3225.3993104258921</v>
      </c>
    </row>
    <row r="27" spans="2:37" x14ac:dyDescent="0.3">
      <c r="B27" t="s">
        <v>199</v>
      </c>
      <c r="E27">
        <v>21</v>
      </c>
      <c r="Z27" s="10"/>
      <c r="AA27" s="170">
        <v>2400</v>
      </c>
      <c r="AB27" s="171">
        <f>$AA27*((1+'Dashboard Control'!$D$32)^('Revenue Streams'!AA$4))</f>
        <v>2472</v>
      </c>
      <c r="AC27" s="171">
        <f>$AA27*((1+'Dashboard Control'!$D$32)^('Revenue Streams'!AB$4))</f>
        <v>2546.16</v>
      </c>
      <c r="AD27" s="171">
        <f>$AA27*((1+'Dashboard Control'!$D$32)^('Revenue Streams'!AC$4))</f>
        <v>2622.5448000000001</v>
      </c>
      <c r="AE27" s="171">
        <f>$AA27*((1+'Dashboard Control'!$D$32)^('Revenue Streams'!AD$4))</f>
        <v>2701.2211439999996</v>
      </c>
      <c r="AF27" s="171">
        <f>$AA27*((1+'Dashboard Control'!$D$32)^('Revenue Streams'!AE$4))</f>
        <v>2782.2577783199995</v>
      </c>
      <c r="AG27" s="171">
        <f>$AA27*((1+'Dashboard Control'!$D$32)^('Revenue Streams'!AF$4))</f>
        <v>2865.7255116695997</v>
      </c>
      <c r="AH27" s="171">
        <f>$AA27*((1+'Dashboard Control'!$D$32)^('Revenue Streams'!AG$4))</f>
        <v>2951.697277019688</v>
      </c>
      <c r="AI27" s="171">
        <f>$AA27*((1+'Dashboard Control'!$D$32)^('Revenue Streams'!AH$4))</f>
        <v>3040.2481953302781</v>
      </c>
      <c r="AJ27" s="171">
        <f>$AA27*((1+'Dashboard Control'!$D$32)^('Revenue Streams'!AI$4))</f>
        <v>3131.4556411901867</v>
      </c>
      <c r="AK27" s="171">
        <f>$AA27*((1+'Dashboard Control'!$D$32)^('Revenue Streams'!AJ$4))</f>
        <v>3225.3993104258921</v>
      </c>
    </row>
    <row r="28" spans="2:37" x14ac:dyDescent="0.3">
      <c r="B28" t="s">
        <v>199</v>
      </c>
      <c r="E28">
        <v>22</v>
      </c>
      <c r="Z28" s="10"/>
      <c r="AA28" s="170">
        <v>2400</v>
      </c>
      <c r="AB28" s="171">
        <f>$AA28*((1+'Dashboard Control'!$D$32)^('Revenue Streams'!AA$4))</f>
        <v>2472</v>
      </c>
      <c r="AC28" s="171">
        <f>$AA28*((1+'Dashboard Control'!$D$32)^('Revenue Streams'!AB$4))</f>
        <v>2546.16</v>
      </c>
      <c r="AD28" s="171">
        <f>$AA28*((1+'Dashboard Control'!$D$32)^('Revenue Streams'!AC$4))</f>
        <v>2622.5448000000001</v>
      </c>
      <c r="AE28" s="171">
        <f>$AA28*((1+'Dashboard Control'!$D$32)^('Revenue Streams'!AD$4))</f>
        <v>2701.2211439999996</v>
      </c>
      <c r="AF28" s="171">
        <f>$AA28*((1+'Dashboard Control'!$D$32)^('Revenue Streams'!AE$4))</f>
        <v>2782.2577783199995</v>
      </c>
      <c r="AG28" s="171">
        <f>$AA28*((1+'Dashboard Control'!$D$32)^('Revenue Streams'!AF$4))</f>
        <v>2865.7255116695997</v>
      </c>
      <c r="AH28" s="171">
        <f>$AA28*((1+'Dashboard Control'!$D$32)^('Revenue Streams'!AG$4))</f>
        <v>2951.697277019688</v>
      </c>
      <c r="AI28" s="171">
        <f>$AA28*((1+'Dashboard Control'!$D$32)^('Revenue Streams'!AH$4))</f>
        <v>3040.2481953302781</v>
      </c>
      <c r="AJ28" s="171">
        <f>$AA28*((1+'Dashboard Control'!$D$32)^('Revenue Streams'!AI$4))</f>
        <v>3131.4556411901867</v>
      </c>
      <c r="AK28" s="171">
        <f>$AA28*((1+'Dashboard Control'!$D$32)^('Revenue Streams'!AJ$4))</f>
        <v>3225.3993104258921</v>
      </c>
    </row>
    <row r="29" spans="2:37" x14ac:dyDescent="0.3">
      <c r="B29" t="s">
        <v>199</v>
      </c>
      <c r="E29">
        <v>23</v>
      </c>
      <c r="Z29" s="10"/>
      <c r="AA29" s="170">
        <v>2400</v>
      </c>
      <c r="AB29" s="171">
        <f>$AA29*((1+'Dashboard Control'!$D$32)^('Revenue Streams'!AA$4))</f>
        <v>2472</v>
      </c>
      <c r="AC29" s="171">
        <f>$AA29*((1+'Dashboard Control'!$D$32)^('Revenue Streams'!AB$4))</f>
        <v>2546.16</v>
      </c>
      <c r="AD29" s="171">
        <f>$AA29*((1+'Dashboard Control'!$D$32)^('Revenue Streams'!AC$4))</f>
        <v>2622.5448000000001</v>
      </c>
      <c r="AE29" s="171">
        <f>$AA29*((1+'Dashboard Control'!$D$32)^('Revenue Streams'!AD$4))</f>
        <v>2701.2211439999996</v>
      </c>
      <c r="AF29" s="171">
        <f>$AA29*((1+'Dashboard Control'!$D$32)^('Revenue Streams'!AE$4))</f>
        <v>2782.2577783199995</v>
      </c>
      <c r="AG29" s="171">
        <f>$AA29*((1+'Dashboard Control'!$D$32)^('Revenue Streams'!AF$4))</f>
        <v>2865.7255116695997</v>
      </c>
      <c r="AH29" s="171">
        <f>$AA29*((1+'Dashboard Control'!$D$32)^('Revenue Streams'!AG$4))</f>
        <v>2951.697277019688</v>
      </c>
      <c r="AI29" s="171">
        <f>$AA29*((1+'Dashboard Control'!$D$32)^('Revenue Streams'!AH$4))</f>
        <v>3040.2481953302781</v>
      </c>
      <c r="AJ29" s="171">
        <f>$AA29*((1+'Dashboard Control'!$D$32)^('Revenue Streams'!AI$4))</f>
        <v>3131.4556411901867</v>
      </c>
      <c r="AK29" s="171">
        <f>$AA29*((1+'Dashboard Control'!$D$32)^('Revenue Streams'!AJ$4))</f>
        <v>3225.3993104258921</v>
      </c>
    </row>
    <row r="30" spans="2:37" x14ac:dyDescent="0.3">
      <c r="B30" t="s">
        <v>199</v>
      </c>
      <c r="E30">
        <v>24</v>
      </c>
      <c r="Z30" s="10"/>
      <c r="AA30" s="170">
        <v>2400</v>
      </c>
      <c r="AB30" s="171">
        <f>$AA30*((1+'Dashboard Control'!$D$32)^('Revenue Streams'!AA$4))</f>
        <v>2472</v>
      </c>
      <c r="AC30" s="171">
        <f>$AA30*((1+'Dashboard Control'!$D$32)^('Revenue Streams'!AB$4))</f>
        <v>2546.16</v>
      </c>
      <c r="AD30" s="171">
        <f>$AA30*((1+'Dashboard Control'!$D$32)^('Revenue Streams'!AC$4))</f>
        <v>2622.5448000000001</v>
      </c>
      <c r="AE30" s="171">
        <f>$AA30*((1+'Dashboard Control'!$D$32)^('Revenue Streams'!AD$4))</f>
        <v>2701.2211439999996</v>
      </c>
      <c r="AF30" s="171">
        <f>$AA30*((1+'Dashboard Control'!$D$32)^('Revenue Streams'!AE$4))</f>
        <v>2782.2577783199995</v>
      </c>
      <c r="AG30" s="171">
        <f>$AA30*((1+'Dashboard Control'!$D$32)^('Revenue Streams'!AF$4))</f>
        <v>2865.7255116695997</v>
      </c>
      <c r="AH30" s="171">
        <f>$AA30*((1+'Dashboard Control'!$D$32)^('Revenue Streams'!AG$4))</f>
        <v>2951.697277019688</v>
      </c>
      <c r="AI30" s="171">
        <f>$AA30*((1+'Dashboard Control'!$D$32)^('Revenue Streams'!AH$4))</f>
        <v>3040.2481953302781</v>
      </c>
      <c r="AJ30" s="171">
        <f>$AA30*((1+'Dashboard Control'!$D$32)^('Revenue Streams'!AI$4))</f>
        <v>3131.4556411901867</v>
      </c>
      <c r="AK30" s="171">
        <f>$AA30*((1+'Dashboard Control'!$D$32)^('Revenue Streams'!AJ$4))</f>
        <v>3225.3993104258921</v>
      </c>
    </row>
    <row r="31" spans="2:37" x14ac:dyDescent="0.3">
      <c r="B31" t="s">
        <v>199</v>
      </c>
      <c r="E31">
        <v>25</v>
      </c>
      <c r="Z31" s="10"/>
      <c r="AA31" s="170">
        <v>2400</v>
      </c>
      <c r="AB31" s="171">
        <f>$AA31*((1+'Dashboard Control'!$D$32)^('Revenue Streams'!AA$4))</f>
        <v>2472</v>
      </c>
      <c r="AC31" s="171">
        <f>$AA31*((1+'Dashboard Control'!$D$32)^('Revenue Streams'!AB$4))</f>
        <v>2546.16</v>
      </c>
      <c r="AD31" s="171">
        <f>$AA31*((1+'Dashboard Control'!$D$32)^('Revenue Streams'!AC$4))</f>
        <v>2622.5448000000001</v>
      </c>
      <c r="AE31" s="171">
        <f>$AA31*((1+'Dashboard Control'!$D$32)^('Revenue Streams'!AD$4))</f>
        <v>2701.2211439999996</v>
      </c>
      <c r="AF31" s="171">
        <f>$AA31*((1+'Dashboard Control'!$D$32)^('Revenue Streams'!AE$4))</f>
        <v>2782.2577783199995</v>
      </c>
      <c r="AG31" s="171">
        <f>$AA31*((1+'Dashboard Control'!$D$32)^('Revenue Streams'!AF$4))</f>
        <v>2865.7255116695997</v>
      </c>
      <c r="AH31" s="171">
        <f>$AA31*((1+'Dashboard Control'!$D$32)^('Revenue Streams'!AG$4))</f>
        <v>2951.697277019688</v>
      </c>
      <c r="AI31" s="171">
        <f>$AA31*((1+'Dashboard Control'!$D$32)^('Revenue Streams'!AH$4))</f>
        <v>3040.2481953302781</v>
      </c>
      <c r="AJ31" s="171">
        <f>$AA31*((1+'Dashboard Control'!$D$32)^('Revenue Streams'!AI$4))</f>
        <v>3131.4556411901867</v>
      </c>
      <c r="AK31" s="171">
        <f>$AA31*((1+'Dashboard Control'!$D$32)^('Revenue Streams'!AJ$4))</f>
        <v>3225.3993104258921</v>
      </c>
    </row>
    <row r="32" spans="2:37" x14ac:dyDescent="0.3">
      <c r="B32" t="s">
        <v>199</v>
      </c>
      <c r="E32">
        <v>26</v>
      </c>
      <c r="Z32" s="10"/>
      <c r="AA32" s="170">
        <v>2400</v>
      </c>
      <c r="AB32" s="171">
        <f>$AA32*((1+'Dashboard Control'!$D$32)^('Revenue Streams'!AA$4))</f>
        <v>2472</v>
      </c>
      <c r="AC32" s="171">
        <f>$AA32*((1+'Dashboard Control'!$D$32)^('Revenue Streams'!AB$4))</f>
        <v>2546.16</v>
      </c>
      <c r="AD32" s="171">
        <f>$AA32*((1+'Dashboard Control'!$D$32)^('Revenue Streams'!AC$4))</f>
        <v>2622.5448000000001</v>
      </c>
      <c r="AE32" s="171">
        <f>$AA32*((1+'Dashboard Control'!$D$32)^('Revenue Streams'!AD$4))</f>
        <v>2701.2211439999996</v>
      </c>
      <c r="AF32" s="171">
        <f>$AA32*((1+'Dashboard Control'!$D$32)^('Revenue Streams'!AE$4))</f>
        <v>2782.2577783199995</v>
      </c>
      <c r="AG32" s="171">
        <f>$AA32*((1+'Dashboard Control'!$D$32)^('Revenue Streams'!AF$4))</f>
        <v>2865.7255116695997</v>
      </c>
      <c r="AH32" s="171">
        <f>$AA32*((1+'Dashboard Control'!$D$32)^('Revenue Streams'!AG$4))</f>
        <v>2951.697277019688</v>
      </c>
      <c r="AI32" s="171">
        <f>$AA32*((1+'Dashboard Control'!$D$32)^('Revenue Streams'!AH$4))</f>
        <v>3040.2481953302781</v>
      </c>
      <c r="AJ32" s="171">
        <f>$AA32*((1+'Dashboard Control'!$D$32)^('Revenue Streams'!AI$4))</f>
        <v>3131.4556411901867</v>
      </c>
      <c r="AK32" s="171">
        <f>$AA32*((1+'Dashboard Control'!$D$32)^('Revenue Streams'!AJ$4))</f>
        <v>3225.3993104258921</v>
      </c>
    </row>
    <row r="33" spans="2:37" x14ac:dyDescent="0.3">
      <c r="B33" t="s">
        <v>199</v>
      </c>
      <c r="E33">
        <v>27</v>
      </c>
      <c r="Z33" s="10"/>
      <c r="AA33" s="170">
        <v>2400</v>
      </c>
      <c r="AB33" s="171">
        <f>$AA33*((1+'Dashboard Control'!$D$32)^('Revenue Streams'!AA$4))</f>
        <v>2472</v>
      </c>
      <c r="AC33" s="171">
        <f>$AA33*((1+'Dashboard Control'!$D$32)^('Revenue Streams'!AB$4))</f>
        <v>2546.16</v>
      </c>
      <c r="AD33" s="171">
        <f>$AA33*((1+'Dashboard Control'!$D$32)^('Revenue Streams'!AC$4))</f>
        <v>2622.5448000000001</v>
      </c>
      <c r="AE33" s="171">
        <f>$AA33*((1+'Dashboard Control'!$D$32)^('Revenue Streams'!AD$4))</f>
        <v>2701.2211439999996</v>
      </c>
      <c r="AF33" s="171">
        <f>$AA33*((1+'Dashboard Control'!$D$32)^('Revenue Streams'!AE$4))</f>
        <v>2782.2577783199995</v>
      </c>
      <c r="AG33" s="171">
        <f>$AA33*((1+'Dashboard Control'!$D$32)^('Revenue Streams'!AF$4))</f>
        <v>2865.7255116695997</v>
      </c>
      <c r="AH33" s="171">
        <f>$AA33*((1+'Dashboard Control'!$D$32)^('Revenue Streams'!AG$4))</f>
        <v>2951.697277019688</v>
      </c>
      <c r="AI33" s="171">
        <f>$AA33*((1+'Dashboard Control'!$D$32)^('Revenue Streams'!AH$4))</f>
        <v>3040.2481953302781</v>
      </c>
      <c r="AJ33" s="171">
        <f>$AA33*((1+'Dashboard Control'!$D$32)^('Revenue Streams'!AI$4))</f>
        <v>3131.4556411901867</v>
      </c>
      <c r="AK33" s="171">
        <f>$AA33*((1+'Dashboard Control'!$D$32)^('Revenue Streams'!AJ$4))</f>
        <v>3225.3993104258921</v>
      </c>
    </row>
    <row r="34" spans="2:37" x14ac:dyDescent="0.3">
      <c r="B34" t="s">
        <v>199</v>
      </c>
      <c r="E34">
        <v>28</v>
      </c>
      <c r="Z34" s="10"/>
      <c r="AA34" s="170">
        <v>2400</v>
      </c>
      <c r="AB34" s="171">
        <f>$AA34*((1+'Dashboard Control'!$D$32)^('Revenue Streams'!AA$4))</f>
        <v>2472</v>
      </c>
      <c r="AC34" s="171">
        <f>$AA34*((1+'Dashboard Control'!$D$32)^('Revenue Streams'!AB$4))</f>
        <v>2546.16</v>
      </c>
      <c r="AD34" s="171">
        <f>$AA34*((1+'Dashboard Control'!$D$32)^('Revenue Streams'!AC$4))</f>
        <v>2622.5448000000001</v>
      </c>
      <c r="AE34" s="171">
        <f>$AA34*((1+'Dashboard Control'!$D$32)^('Revenue Streams'!AD$4))</f>
        <v>2701.2211439999996</v>
      </c>
      <c r="AF34" s="171">
        <f>$AA34*((1+'Dashboard Control'!$D$32)^('Revenue Streams'!AE$4))</f>
        <v>2782.2577783199995</v>
      </c>
      <c r="AG34" s="171">
        <f>$AA34*((1+'Dashboard Control'!$D$32)^('Revenue Streams'!AF$4))</f>
        <v>2865.7255116695997</v>
      </c>
      <c r="AH34" s="171">
        <f>$AA34*((1+'Dashboard Control'!$D$32)^('Revenue Streams'!AG$4))</f>
        <v>2951.697277019688</v>
      </c>
      <c r="AI34" s="171">
        <f>$AA34*((1+'Dashboard Control'!$D$32)^('Revenue Streams'!AH$4))</f>
        <v>3040.2481953302781</v>
      </c>
      <c r="AJ34" s="171">
        <f>$AA34*((1+'Dashboard Control'!$D$32)^('Revenue Streams'!AI$4))</f>
        <v>3131.4556411901867</v>
      </c>
      <c r="AK34" s="171">
        <f>$AA34*((1+'Dashboard Control'!$D$32)^('Revenue Streams'!AJ$4))</f>
        <v>3225.3993104258921</v>
      </c>
    </row>
    <row r="35" spans="2:37" x14ac:dyDescent="0.3">
      <c r="B35" t="s">
        <v>199</v>
      </c>
      <c r="E35">
        <v>29</v>
      </c>
      <c r="Z35" s="10"/>
      <c r="AA35" s="170">
        <v>2400</v>
      </c>
      <c r="AB35" s="171">
        <f>$AA35*((1+'Dashboard Control'!$D$32)^('Revenue Streams'!AA$4))</f>
        <v>2472</v>
      </c>
      <c r="AC35" s="171">
        <f>$AA35*((1+'Dashboard Control'!$D$32)^('Revenue Streams'!AB$4))</f>
        <v>2546.16</v>
      </c>
      <c r="AD35" s="171">
        <f>$AA35*((1+'Dashboard Control'!$D$32)^('Revenue Streams'!AC$4))</f>
        <v>2622.5448000000001</v>
      </c>
      <c r="AE35" s="171">
        <f>$AA35*((1+'Dashboard Control'!$D$32)^('Revenue Streams'!AD$4))</f>
        <v>2701.2211439999996</v>
      </c>
      <c r="AF35" s="171">
        <f>$AA35*((1+'Dashboard Control'!$D$32)^('Revenue Streams'!AE$4))</f>
        <v>2782.2577783199995</v>
      </c>
      <c r="AG35" s="171">
        <f>$AA35*((1+'Dashboard Control'!$D$32)^('Revenue Streams'!AF$4))</f>
        <v>2865.7255116695997</v>
      </c>
      <c r="AH35" s="171">
        <f>$AA35*((1+'Dashboard Control'!$D$32)^('Revenue Streams'!AG$4))</f>
        <v>2951.697277019688</v>
      </c>
      <c r="AI35" s="171">
        <f>$AA35*((1+'Dashboard Control'!$D$32)^('Revenue Streams'!AH$4))</f>
        <v>3040.2481953302781</v>
      </c>
      <c r="AJ35" s="171">
        <f>$AA35*((1+'Dashboard Control'!$D$32)^('Revenue Streams'!AI$4))</f>
        <v>3131.4556411901867</v>
      </c>
      <c r="AK35" s="171">
        <f>$AA35*((1+'Dashboard Control'!$D$32)^('Revenue Streams'!AJ$4))</f>
        <v>3225.3993104258921</v>
      </c>
    </row>
    <row r="36" spans="2:37" x14ac:dyDescent="0.3">
      <c r="B36" t="s">
        <v>199</v>
      </c>
      <c r="E36">
        <v>30</v>
      </c>
      <c r="Z36" s="10"/>
      <c r="AA36" s="170">
        <v>2400</v>
      </c>
      <c r="AB36" s="171">
        <f>$AA36*((1+'Dashboard Control'!$D$32)^('Revenue Streams'!AA$4))</f>
        <v>2472</v>
      </c>
      <c r="AC36" s="171">
        <f>$AA36*((1+'Dashboard Control'!$D$32)^('Revenue Streams'!AB$4))</f>
        <v>2546.16</v>
      </c>
      <c r="AD36" s="171">
        <f>$AA36*((1+'Dashboard Control'!$D$32)^('Revenue Streams'!AC$4))</f>
        <v>2622.5448000000001</v>
      </c>
      <c r="AE36" s="171">
        <f>$AA36*((1+'Dashboard Control'!$D$32)^('Revenue Streams'!AD$4))</f>
        <v>2701.2211439999996</v>
      </c>
      <c r="AF36" s="171">
        <f>$AA36*((1+'Dashboard Control'!$D$32)^('Revenue Streams'!AE$4))</f>
        <v>2782.2577783199995</v>
      </c>
      <c r="AG36" s="171">
        <f>$AA36*((1+'Dashboard Control'!$D$32)^('Revenue Streams'!AF$4))</f>
        <v>2865.7255116695997</v>
      </c>
      <c r="AH36" s="171">
        <f>$AA36*((1+'Dashboard Control'!$D$32)^('Revenue Streams'!AG$4))</f>
        <v>2951.697277019688</v>
      </c>
      <c r="AI36" s="171">
        <f>$AA36*((1+'Dashboard Control'!$D$32)^('Revenue Streams'!AH$4))</f>
        <v>3040.2481953302781</v>
      </c>
      <c r="AJ36" s="171">
        <f>$AA36*((1+'Dashboard Control'!$D$32)^('Revenue Streams'!AI$4))</f>
        <v>3131.4556411901867</v>
      </c>
      <c r="AK36" s="171">
        <f>$AA36*((1+'Dashboard Control'!$D$32)^('Revenue Streams'!AJ$4))</f>
        <v>3225.3993104258921</v>
      </c>
    </row>
    <row r="37" spans="2:37" x14ac:dyDescent="0.3">
      <c r="B37" t="s">
        <v>199</v>
      </c>
      <c r="E37">
        <v>31</v>
      </c>
      <c r="Z37" s="10"/>
      <c r="AA37" s="170">
        <v>2400</v>
      </c>
      <c r="AB37" s="171">
        <f>$AA37*((1+'Dashboard Control'!$D$32)^('Revenue Streams'!AA$4))</f>
        <v>2472</v>
      </c>
      <c r="AC37" s="171">
        <f>$AA37*((1+'Dashboard Control'!$D$32)^('Revenue Streams'!AB$4))</f>
        <v>2546.16</v>
      </c>
      <c r="AD37" s="171">
        <f>$AA37*((1+'Dashboard Control'!$D$32)^('Revenue Streams'!AC$4))</f>
        <v>2622.5448000000001</v>
      </c>
      <c r="AE37" s="171">
        <f>$AA37*((1+'Dashboard Control'!$D$32)^('Revenue Streams'!AD$4))</f>
        <v>2701.2211439999996</v>
      </c>
      <c r="AF37" s="171">
        <f>$AA37*((1+'Dashboard Control'!$D$32)^('Revenue Streams'!AE$4))</f>
        <v>2782.2577783199995</v>
      </c>
      <c r="AG37" s="171">
        <f>$AA37*((1+'Dashboard Control'!$D$32)^('Revenue Streams'!AF$4))</f>
        <v>2865.7255116695997</v>
      </c>
      <c r="AH37" s="171">
        <f>$AA37*((1+'Dashboard Control'!$D$32)^('Revenue Streams'!AG$4))</f>
        <v>2951.697277019688</v>
      </c>
      <c r="AI37" s="171">
        <f>$AA37*((1+'Dashboard Control'!$D$32)^('Revenue Streams'!AH$4))</f>
        <v>3040.2481953302781</v>
      </c>
      <c r="AJ37" s="171">
        <f>$AA37*((1+'Dashboard Control'!$D$32)^('Revenue Streams'!AI$4))</f>
        <v>3131.4556411901867</v>
      </c>
      <c r="AK37" s="171">
        <f>$AA37*((1+'Dashboard Control'!$D$32)^('Revenue Streams'!AJ$4))</f>
        <v>3225.3993104258921</v>
      </c>
    </row>
    <row r="38" spans="2:37" x14ac:dyDescent="0.3">
      <c r="B38" t="s">
        <v>199</v>
      </c>
      <c r="E38">
        <v>32</v>
      </c>
      <c r="Z38" s="10"/>
      <c r="AA38" s="170">
        <v>2400</v>
      </c>
      <c r="AB38" s="171">
        <f>$AA38*((1+'Dashboard Control'!$D$32)^('Revenue Streams'!AA$4))</f>
        <v>2472</v>
      </c>
      <c r="AC38" s="171">
        <f>$AA38*((1+'Dashboard Control'!$D$32)^('Revenue Streams'!AB$4))</f>
        <v>2546.16</v>
      </c>
      <c r="AD38" s="171">
        <f>$AA38*((1+'Dashboard Control'!$D$32)^('Revenue Streams'!AC$4))</f>
        <v>2622.5448000000001</v>
      </c>
      <c r="AE38" s="171">
        <f>$AA38*((1+'Dashboard Control'!$D$32)^('Revenue Streams'!AD$4))</f>
        <v>2701.2211439999996</v>
      </c>
      <c r="AF38" s="171">
        <f>$AA38*((1+'Dashboard Control'!$D$32)^('Revenue Streams'!AE$4))</f>
        <v>2782.2577783199995</v>
      </c>
      <c r="AG38" s="171">
        <f>$AA38*((1+'Dashboard Control'!$D$32)^('Revenue Streams'!AF$4))</f>
        <v>2865.7255116695997</v>
      </c>
      <c r="AH38" s="171">
        <f>$AA38*((1+'Dashboard Control'!$D$32)^('Revenue Streams'!AG$4))</f>
        <v>2951.697277019688</v>
      </c>
      <c r="AI38" s="171">
        <f>$AA38*((1+'Dashboard Control'!$D$32)^('Revenue Streams'!AH$4))</f>
        <v>3040.2481953302781</v>
      </c>
      <c r="AJ38" s="171">
        <f>$AA38*((1+'Dashboard Control'!$D$32)^('Revenue Streams'!AI$4))</f>
        <v>3131.4556411901867</v>
      </c>
      <c r="AK38" s="171">
        <f>$AA38*((1+'Dashboard Control'!$D$32)^('Revenue Streams'!AJ$4))</f>
        <v>3225.3993104258921</v>
      </c>
    </row>
    <row r="39" spans="2:37" x14ac:dyDescent="0.3">
      <c r="B39" t="s">
        <v>199</v>
      </c>
      <c r="E39">
        <v>33</v>
      </c>
      <c r="Z39" s="10"/>
      <c r="AA39" s="170">
        <v>2400</v>
      </c>
      <c r="AB39" s="171">
        <f>$AA39*((1+'Dashboard Control'!$D$32)^('Revenue Streams'!AA$4))</f>
        <v>2472</v>
      </c>
      <c r="AC39" s="171">
        <f>$AA39*((1+'Dashboard Control'!$D$32)^('Revenue Streams'!AB$4))</f>
        <v>2546.16</v>
      </c>
      <c r="AD39" s="171">
        <f>$AA39*((1+'Dashboard Control'!$D$32)^('Revenue Streams'!AC$4))</f>
        <v>2622.5448000000001</v>
      </c>
      <c r="AE39" s="171">
        <f>$AA39*((1+'Dashboard Control'!$D$32)^('Revenue Streams'!AD$4))</f>
        <v>2701.2211439999996</v>
      </c>
      <c r="AF39" s="171">
        <f>$AA39*((1+'Dashboard Control'!$D$32)^('Revenue Streams'!AE$4))</f>
        <v>2782.2577783199995</v>
      </c>
      <c r="AG39" s="171">
        <f>$AA39*((1+'Dashboard Control'!$D$32)^('Revenue Streams'!AF$4))</f>
        <v>2865.7255116695997</v>
      </c>
      <c r="AH39" s="171">
        <f>$AA39*((1+'Dashboard Control'!$D$32)^('Revenue Streams'!AG$4))</f>
        <v>2951.697277019688</v>
      </c>
      <c r="AI39" s="171">
        <f>$AA39*((1+'Dashboard Control'!$D$32)^('Revenue Streams'!AH$4))</f>
        <v>3040.2481953302781</v>
      </c>
      <c r="AJ39" s="171">
        <f>$AA39*((1+'Dashboard Control'!$D$32)^('Revenue Streams'!AI$4))</f>
        <v>3131.4556411901867</v>
      </c>
      <c r="AK39" s="171">
        <f>$AA39*((1+'Dashboard Control'!$D$32)^('Revenue Streams'!AJ$4))</f>
        <v>3225.3993104258921</v>
      </c>
    </row>
    <row r="40" spans="2:37" x14ac:dyDescent="0.3">
      <c r="B40" t="s">
        <v>199</v>
      </c>
      <c r="E40">
        <v>34</v>
      </c>
      <c r="Z40" s="10"/>
      <c r="AA40" s="170">
        <v>2400</v>
      </c>
      <c r="AB40" s="171">
        <f>$AA40*((1+'Dashboard Control'!$D$32)^('Revenue Streams'!AA$4))</f>
        <v>2472</v>
      </c>
      <c r="AC40" s="171">
        <f>$AA40*((1+'Dashboard Control'!$D$32)^('Revenue Streams'!AB$4))</f>
        <v>2546.16</v>
      </c>
      <c r="AD40" s="171">
        <f>$AA40*((1+'Dashboard Control'!$D$32)^('Revenue Streams'!AC$4))</f>
        <v>2622.5448000000001</v>
      </c>
      <c r="AE40" s="171">
        <f>$AA40*((1+'Dashboard Control'!$D$32)^('Revenue Streams'!AD$4))</f>
        <v>2701.2211439999996</v>
      </c>
      <c r="AF40" s="171">
        <f>$AA40*((1+'Dashboard Control'!$D$32)^('Revenue Streams'!AE$4))</f>
        <v>2782.2577783199995</v>
      </c>
      <c r="AG40" s="171">
        <f>$AA40*((1+'Dashboard Control'!$D$32)^('Revenue Streams'!AF$4))</f>
        <v>2865.7255116695997</v>
      </c>
      <c r="AH40" s="171">
        <f>$AA40*((1+'Dashboard Control'!$D$32)^('Revenue Streams'!AG$4))</f>
        <v>2951.697277019688</v>
      </c>
      <c r="AI40" s="171">
        <f>$AA40*((1+'Dashboard Control'!$D$32)^('Revenue Streams'!AH$4))</f>
        <v>3040.2481953302781</v>
      </c>
      <c r="AJ40" s="171">
        <f>$AA40*((1+'Dashboard Control'!$D$32)^('Revenue Streams'!AI$4))</f>
        <v>3131.4556411901867</v>
      </c>
      <c r="AK40" s="171">
        <f>$AA40*((1+'Dashboard Control'!$D$32)^('Revenue Streams'!AJ$4))</f>
        <v>3225.3993104258921</v>
      </c>
    </row>
    <row r="41" spans="2:37" x14ac:dyDescent="0.3">
      <c r="B41" t="s">
        <v>199</v>
      </c>
      <c r="E41">
        <v>35</v>
      </c>
      <c r="Z41" s="10"/>
      <c r="AA41" s="170">
        <v>2400</v>
      </c>
      <c r="AB41" s="171">
        <f>$AA41*((1+'Dashboard Control'!$D$32)^('Revenue Streams'!AA$4))</f>
        <v>2472</v>
      </c>
      <c r="AC41" s="171">
        <f>$AA41*((1+'Dashboard Control'!$D$32)^('Revenue Streams'!AB$4))</f>
        <v>2546.16</v>
      </c>
      <c r="AD41" s="171">
        <f>$AA41*((1+'Dashboard Control'!$D$32)^('Revenue Streams'!AC$4))</f>
        <v>2622.5448000000001</v>
      </c>
      <c r="AE41" s="171">
        <f>$AA41*((1+'Dashboard Control'!$D$32)^('Revenue Streams'!AD$4))</f>
        <v>2701.2211439999996</v>
      </c>
      <c r="AF41" s="171">
        <f>$AA41*((1+'Dashboard Control'!$D$32)^('Revenue Streams'!AE$4))</f>
        <v>2782.2577783199995</v>
      </c>
      <c r="AG41" s="171">
        <f>$AA41*((1+'Dashboard Control'!$D$32)^('Revenue Streams'!AF$4))</f>
        <v>2865.7255116695997</v>
      </c>
      <c r="AH41" s="171">
        <f>$AA41*((1+'Dashboard Control'!$D$32)^('Revenue Streams'!AG$4))</f>
        <v>2951.697277019688</v>
      </c>
      <c r="AI41" s="171">
        <f>$AA41*((1+'Dashboard Control'!$D$32)^('Revenue Streams'!AH$4))</f>
        <v>3040.2481953302781</v>
      </c>
      <c r="AJ41" s="171">
        <f>$AA41*((1+'Dashboard Control'!$D$32)^('Revenue Streams'!AI$4))</f>
        <v>3131.4556411901867</v>
      </c>
      <c r="AK41" s="171">
        <f>$AA41*((1+'Dashboard Control'!$D$32)^('Revenue Streams'!AJ$4))</f>
        <v>3225.3993104258921</v>
      </c>
    </row>
    <row r="42" spans="2:37" x14ac:dyDescent="0.3">
      <c r="B42" t="s">
        <v>199</v>
      </c>
      <c r="E42">
        <v>36</v>
      </c>
      <c r="Z42" s="10"/>
      <c r="AA42" s="170">
        <v>2400</v>
      </c>
      <c r="AB42" s="171">
        <f>$AA42*((1+'Dashboard Control'!$D$32)^('Revenue Streams'!AA$4))</f>
        <v>2472</v>
      </c>
      <c r="AC42" s="171">
        <f>$AA42*((1+'Dashboard Control'!$D$32)^('Revenue Streams'!AB$4))</f>
        <v>2546.16</v>
      </c>
      <c r="AD42" s="171">
        <f>$AA42*((1+'Dashboard Control'!$D$32)^('Revenue Streams'!AC$4))</f>
        <v>2622.5448000000001</v>
      </c>
      <c r="AE42" s="171">
        <f>$AA42*((1+'Dashboard Control'!$D$32)^('Revenue Streams'!AD$4))</f>
        <v>2701.2211439999996</v>
      </c>
      <c r="AF42" s="171">
        <f>$AA42*((1+'Dashboard Control'!$D$32)^('Revenue Streams'!AE$4))</f>
        <v>2782.2577783199995</v>
      </c>
      <c r="AG42" s="171">
        <f>$AA42*((1+'Dashboard Control'!$D$32)^('Revenue Streams'!AF$4))</f>
        <v>2865.7255116695997</v>
      </c>
      <c r="AH42" s="171">
        <f>$AA42*((1+'Dashboard Control'!$D$32)^('Revenue Streams'!AG$4))</f>
        <v>2951.697277019688</v>
      </c>
      <c r="AI42" s="171">
        <f>$AA42*((1+'Dashboard Control'!$D$32)^('Revenue Streams'!AH$4))</f>
        <v>3040.2481953302781</v>
      </c>
      <c r="AJ42" s="171">
        <f>$AA42*((1+'Dashboard Control'!$D$32)^('Revenue Streams'!AI$4))</f>
        <v>3131.4556411901867</v>
      </c>
      <c r="AK42" s="171">
        <f>$AA42*((1+'Dashboard Control'!$D$32)^('Revenue Streams'!AJ$4))</f>
        <v>3225.3993104258921</v>
      </c>
    </row>
    <row r="43" spans="2:37" x14ac:dyDescent="0.3">
      <c r="B43" t="s">
        <v>199</v>
      </c>
      <c r="E43">
        <v>37</v>
      </c>
      <c r="Z43" s="10"/>
      <c r="AA43" s="170">
        <v>2400</v>
      </c>
      <c r="AB43" s="171">
        <f>$AA43*((1+'Dashboard Control'!$D$32)^('Revenue Streams'!AA$4))</f>
        <v>2472</v>
      </c>
      <c r="AC43" s="171">
        <f>$AA43*((1+'Dashboard Control'!$D$32)^('Revenue Streams'!AB$4))</f>
        <v>2546.16</v>
      </c>
      <c r="AD43" s="171">
        <f>$AA43*((1+'Dashboard Control'!$D$32)^('Revenue Streams'!AC$4))</f>
        <v>2622.5448000000001</v>
      </c>
      <c r="AE43" s="171">
        <f>$AA43*((1+'Dashboard Control'!$D$32)^('Revenue Streams'!AD$4))</f>
        <v>2701.2211439999996</v>
      </c>
      <c r="AF43" s="171">
        <f>$AA43*((1+'Dashboard Control'!$D$32)^('Revenue Streams'!AE$4))</f>
        <v>2782.2577783199995</v>
      </c>
      <c r="AG43" s="171">
        <f>$AA43*((1+'Dashboard Control'!$D$32)^('Revenue Streams'!AF$4))</f>
        <v>2865.7255116695997</v>
      </c>
      <c r="AH43" s="171">
        <f>$AA43*((1+'Dashboard Control'!$D$32)^('Revenue Streams'!AG$4))</f>
        <v>2951.697277019688</v>
      </c>
      <c r="AI43" s="171">
        <f>$AA43*((1+'Dashboard Control'!$D$32)^('Revenue Streams'!AH$4))</f>
        <v>3040.2481953302781</v>
      </c>
      <c r="AJ43" s="171">
        <f>$AA43*((1+'Dashboard Control'!$D$32)^('Revenue Streams'!AI$4))</f>
        <v>3131.4556411901867</v>
      </c>
      <c r="AK43" s="171">
        <f>$AA43*((1+'Dashboard Control'!$D$32)^('Revenue Streams'!AJ$4))</f>
        <v>3225.3993104258921</v>
      </c>
    </row>
    <row r="44" spans="2:37" x14ac:dyDescent="0.3">
      <c r="B44" t="s">
        <v>199</v>
      </c>
      <c r="E44">
        <v>38</v>
      </c>
      <c r="Z44" s="10"/>
      <c r="AA44" s="170">
        <v>2400</v>
      </c>
      <c r="AB44" s="171">
        <f>$AA44*((1+'Dashboard Control'!$D$32)^('Revenue Streams'!AA$4))</f>
        <v>2472</v>
      </c>
      <c r="AC44" s="171">
        <f>$AA44*((1+'Dashboard Control'!$D$32)^('Revenue Streams'!AB$4))</f>
        <v>2546.16</v>
      </c>
      <c r="AD44" s="171">
        <f>$AA44*((1+'Dashboard Control'!$D$32)^('Revenue Streams'!AC$4))</f>
        <v>2622.5448000000001</v>
      </c>
      <c r="AE44" s="171">
        <f>$AA44*((1+'Dashboard Control'!$D$32)^('Revenue Streams'!AD$4))</f>
        <v>2701.2211439999996</v>
      </c>
      <c r="AF44" s="171">
        <f>$AA44*((1+'Dashboard Control'!$D$32)^('Revenue Streams'!AE$4))</f>
        <v>2782.2577783199995</v>
      </c>
      <c r="AG44" s="171">
        <f>$AA44*((1+'Dashboard Control'!$D$32)^('Revenue Streams'!AF$4))</f>
        <v>2865.7255116695997</v>
      </c>
      <c r="AH44" s="171">
        <f>$AA44*((1+'Dashboard Control'!$D$32)^('Revenue Streams'!AG$4))</f>
        <v>2951.697277019688</v>
      </c>
      <c r="AI44" s="171">
        <f>$AA44*((1+'Dashboard Control'!$D$32)^('Revenue Streams'!AH$4))</f>
        <v>3040.2481953302781</v>
      </c>
      <c r="AJ44" s="171">
        <f>$AA44*((1+'Dashboard Control'!$D$32)^('Revenue Streams'!AI$4))</f>
        <v>3131.4556411901867</v>
      </c>
      <c r="AK44" s="171">
        <f>$AA44*((1+'Dashboard Control'!$D$32)^('Revenue Streams'!AJ$4))</f>
        <v>3225.3993104258921</v>
      </c>
    </row>
    <row r="45" spans="2:37" x14ac:dyDescent="0.3">
      <c r="B45" t="s">
        <v>199</v>
      </c>
      <c r="E45">
        <v>39</v>
      </c>
      <c r="Z45" s="10"/>
      <c r="AA45" s="170">
        <v>2400</v>
      </c>
      <c r="AB45" s="171">
        <f>$AA45*((1+'Dashboard Control'!$D$32)^('Revenue Streams'!AA$4))</f>
        <v>2472</v>
      </c>
      <c r="AC45" s="171">
        <f>$AA45*((1+'Dashboard Control'!$D$32)^('Revenue Streams'!AB$4))</f>
        <v>2546.16</v>
      </c>
      <c r="AD45" s="171">
        <f>$AA45*((1+'Dashboard Control'!$D$32)^('Revenue Streams'!AC$4))</f>
        <v>2622.5448000000001</v>
      </c>
      <c r="AE45" s="171">
        <f>$AA45*((1+'Dashboard Control'!$D$32)^('Revenue Streams'!AD$4))</f>
        <v>2701.2211439999996</v>
      </c>
      <c r="AF45" s="171">
        <f>$AA45*((1+'Dashboard Control'!$D$32)^('Revenue Streams'!AE$4))</f>
        <v>2782.2577783199995</v>
      </c>
      <c r="AG45" s="171">
        <f>$AA45*((1+'Dashboard Control'!$D$32)^('Revenue Streams'!AF$4))</f>
        <v>2865.7255116695997</v>
      </c>
      <c r="AH45" s="171">
        <f>$AA45*((1+'Dashboard Control'!$D$32)^('Revenue Streams'!AG$4))</f>
        <v>2951.697277019688</v>
      </c>
      <c r="AI45" s="171">
        <f>$AA45*((1+'Dashboard Control'!$D$32)^('Revenue Streams'!AH$4))</f>
        <v>3040.2481953302781</v>
      </c>
      <c r="AJ45" s="171">
        <f>$AA45*((1+'Dashboard Control'!$D$32)^('Revenue Streams'!AI$4))</f>
        <v>3131.4556411901867</v>
      </c>
      <c r="AK45" s="171">
        <f>$AA45*((1+'Dashboard Control'!$D$32)^('Revenue Streams'!AJ$4))</f>
        <v>3225.3993104258921</v>
      </c>
    </row>
    <row r="46" spans="2:37" x14ac:dyDescent="0.3">
      <c r="B46" t="s">
        <v>199</v>
      </c>
      <c r="E46">
        <v>40</v>
      </c>
      <c r="Z46" s="10"/>
      <c r="AA46" s="170">
        <v>2400</v>
      </c>
      <c r="AB46" s="171">
        <f>$AA46*((1+'Dashboard Control'!$D$32)^('Revenue Streams'!AA$4))</f>
        <v>2472</v>
      </c>
      <c r="AC46" s="171">
        <f>$AA46*((1+'Dashboard Control'!$D$32)^('Revenue Streams'!AB$4))</f>
        <v>2546.16</v>
      </c>
      <c r="AD46" s="171">
        <f>$AA46*((1+'Dashboard Control'!$D$32)^('Revenue Streams'!AC$4))</f>
        <v>2622.5448000000001</v>
      </c>
      <c r="AE46" s="171">
        <f>$AA46*((1+'Dashboard Control'!$D$32)^('Revenue Streams'!AD$4))</f>
        <v>2701.2211439999996</v>
      </c>
      <c r="AF46" s="171">
        <f>$AA46*((1+'Dashboard Control'!$D$32)^('Revenue Streams'!AE$4))</f>
        <v>2782.2577783199995</v>
      </c>
      <c r="AG46" s="171">
        <f>$AA46*((1+'Dashboard Control'!$D$32)^('Revenue Streams'!AF$4))</f>
        <v>2865.7255116695997</v>
      </c>
      <c r="AH46" s="171">
        <f>$AA46*((1+'Dashboard Control'!$D$32)^('Revenue Streams'!AG$4))</f>
        <v>2951.697277019688</v>
      </c>
      <c r="AI46" s="171">
        <f>$AA46*((1+'Dashboard Control'!$D$32)^('Revenue Streams'!AH$4))</f>
        <v>3040.2481953302781</v>
      </c>
      <c r="AJ46" s="171">
        <f>$AA46*((1+'Dashboard Control'!$D$32)^('Revenue Streams'!AI$4))</f>
        <v>3131.4556411901867</v>
      </c>
      <c r="AK46" s="171">
        <f>$AA46*((1+'Dashboard Control'!$D$32)^('Revenue Streams'!AJ$4))</f>
        <v>3225.3993104258921</v>
      </c>
    </row>
    <row r="47" spans="2:37" x14ac:dyDescent="0.3">
      <c r="B47" t="s">
        <v>199</v>
      </c>
      <c r="E47">
        <v>41</v>
      </c>
      <c r="Z47" s="10"/>
      <c r="AA47" s="170">
        <v>2400</v>
      </c>
      <c r="AB47" s="171">
        <f>$AA47*((1+'Dashboard Control'!$D$32)^('Revenue Streams'!AA$4))</f>
        <v>2472</v>
      </c>
      <c r="AC47" s="171">
        <f>$AA47*((1+'Dashboard Control'!$D$32)^('Revenue Streams'!AB$4))</f>
        <v>2546.16</v>
      </c>
      <c r="AD47" s="171">
        <f>$AA47*((1+'Dashboard Control'!$D$32)^('Revenue Streams'!AC$4))</f>
        <v>2622.5448000000001</v>
      </c>
      <c r="AE47" s="171">
        <f>$AA47*((1+'Dashboard Control'!$D$32)^('Revenue Streams'!AD$4))</f>
        <v>2701.2211439999996</v>
      </c>
      <c r="AF47" s="171">
        <f>$AA47*((1+'Dashboard Control'!$D$32)^('Revenue Streams'!AE$4))</f>
        <v>2782.2577783199995</v>
      </c>
      <c r="AG47" s="171">
        <f>$AA47*((1+'Dashboard Control'!$D$32)^('Revenue Streams'!AF$4))</f>
        <v>2865.7255116695997</v>
      </c>
      <c r="AH47" s="171">
        <f>$AA47*((1+'Dashboard Control'!$D$32)^('Revenue Streams'!AG$4))</f>
        <v>2951.697277019688</v>
      </c>
      <c r="AI47" s="171">
        <f>$AA47*((1+'Dashboard Control'!$D$32)^('Revenue Streams'!AH$4))</f>
        <v>3040.2481953302781</v>
      </c>
      <c r="AJ47" s="171">
        <f>$AA47*((1+'Dashboard Control'!$D$32)^('Revenue Streams'!AI$4))</f>
        <v>3131.4556411901867</v>
      </c>
      <c r="AK47" s="171">
        <f>$AA47*((1+'Dashboard Control'!$D$32)^('Revenue Streams'!AJ$4))</f>
        <v>3225.3993104258921</v>
      </c>
    </row>
    <row r="48" spans="2:37" x14ac:dyDescent="0.3">
      <c r="B48" t="s">
        <v>199</v>
      </c>
      <c r="E48">
        <v>42</v>
      </c>
      <c r="Z48" s="10"/>
      <c r="AA48" s="170">
        <v>2400</v>
      </c>
      <c r="AB48" s="171">
        <f>$AA48*((1+'Dashboard Control'!$D$32)^('Revenue Streams'!AA$4))</f>
        <v>2472</v>
      </c>
      <c r="AC48" s="171">
        <f>$AA48*((1+'Dashboard Control'!$D$32)^('Revenue Streams'!AB$4))</f>
        <v>2546.16</v>
      </c>
      <c r="AD48" s="171">
        <f>$AA48*((1+'Dashboard Control'!$D$32)^('Revenue Streams'!AC$4))</f>
        <v>2622.5448000000001</v>
      </c>
      <c r="AE48" s="171">
        <f>$AA48*((1+'Dashboard Control'!$D$32)^('Revenue Streams'!AD$4))</f>
        <v>2701.2211439999996</v>
      </c>
      <c r="AF48" s="171">
        <f>$AA48*((1+'Dashboard Control'!$D$32)^('Revenue Streams'!AE$4))</f>
        <v>2782.2577783199995</v>
      </c>
      <c r="AG48" s="171">
        <f>$AA48*((1+'Dashboard Control'!$D$32)^('Revenue Streams'!AF$4))</f>
        <v>2865.7255116695997</v>
      </c>
      <c r="AH48" s="171">
        <f>$AA48*((1+'Dashboard Control'!$D$32)^('Revenue Streams'!AG$4))</f>
        <v>2951.697277019688</v>
      </c>
      <c r="AI48" s="171">
        <f>$AA48*((1+'Dashboard Control'!$D$32)^('Revenue Streams'!AH$4))</f>
        <v>3040.2481953302781</v>
      </c>
      <c r="AJ48" s="171">
        <f>$AA48*((1+'Dashboard Control'!$D$32)^('Revenue Streams'!AI$4))</f>
        <v>3131.4556411901867</v>
      </c>
      <c r="AK48" s="171">
        <f>$AA48*((1+'Dashboard Control'!$D$32)^('Revenue Streams'!AJ$4))</f>
        <v>3225.3993104258921</v>
      </c>
    </row>
    <row r="49" spans="2:37" x14ac:dyDescent="0.3">
      <c r="B49" t="s">
        <v>199</v>
      </c>
      <c r="E49">
        <v>43</v>
      </c>
      <c r="Z49" s="10"/>
      <c r="AA49" s="170">
        <v>2400</v>
      </c>
      <c r="AB49" s="171">
        <f>$AA49*((1+'Dashboard Control'!$D$32)^('Revenue Streams'!AA$4))</f>
        <v>2472</v>
      </c>
      <c r="AC49" s="171">
        <f>$AA49*((1+'Dashboard Control'!$D$32)^('Revenue Streams'!AB$4))</f>
        <v>2546.16</v>
      </c>
      <c r="AD49" s="171">
        <f>$AA49*((1+'Dashboard Control'!$D$32)^('Revenue Streams'!AC$4))</f>
        <v>2622.5448000000001</v>
      </c>
      <c r="AE49" s="171">
        <f>$AA49*((1+'Dashboard Control'!$D$32)^('Revenue Streams'!AD$4))</f>
        <v>2701.2211439999996</v>
      </c>
      <c r="AF49" s="171">
        <f>$AA49*((1+'Dashboard Control'!$D$32)^('Revenue Streams'!AE$4))</f>
        <v>2782.2577783199995</v>
      </c>
      <c r="AG49" s="171">
        <f>$AA49*((1+'Dashboard Control'!$D$32)^('Revenue Streams'!AF$4))</f>
        <v>2865.7255116695997</v>
      </c>
      <c r="AH49" s="171">
        <f>$AA49*((1+'Dashboard Control'!$D$32)^('Revenue Streams'!AG$4))</f>
        <v>2951.697277019688</v>
      </c>
      <c r="AI49" s="171">
        <f>$AA49*((1+'Dashboard Control'!$D$32)^('Revenue Streams'!AH$4))</f>
        <v>3040.2481953302781</v>
      </c>
      <c r="AJ49" s="171">
        <f>$AA49*((1+'Dashboard Control'!$D$32)^('Revenue Streams'!AI$4))</f>
        <v>3131.4556411901867</v>
      </c>
      <c r="AK49" s="171">
        <f>$AA49*((1+'Dashboard Control'!$D$32)^('Revenue Streams'!AJ$4))</f>
        <v>3225.3993104258921</v>
      </c>
    </row>
    <row r="50" spans="2:37" x14ac:dyDescent="0.3">
      <c r="B50" t="s">
        <v>199</v>
      </c>
      <c r="E50">
        <v>44</v>
      </c>
      <c r="Z50" s="10"/>
      <c r="AA50" s="170">
        <v>2400</v>
      </c>
      <c r="AB50" s="171">
        <f>$AA50*((1+'Dashboard Control'!$D$32)^('Revenue Streams'!AA$4))</f>
        <v>2472</v>
      </c>
      <c r="AC50" s="171">
        <f>$AA50*((1+'Dashboard Control'!$D$32)^('Revenue Streams'!AB$4))</f>
        <v>2546.16</v>
      </c>
      <c r="AD50" s="171">
        <f>$AA50*((1+'Dashboard Control'!$D$32)^('Revenue Streams'!AC$4))</f>
        <v>2622.5448000000001</v>
      </c>
      <c r="AE50" s="171">
        <f>$AA50*((1+'Dashboard Control'!$D$32)^('Revenue Streams'!AD$4))</f>
        <v>2701.2211439999996</v>
      </c>
      <c r="AF50" s="171">
        <f>$AA50*((1+'Dashboard Control'!$D$32)^('Revenue Streams'!AE$4))</f>
        <v>2782.2577783199995</v>
      </c>
      <c r="AG50" s="171">
        <f>$AA50*((1+'Dashboard Control'!$D$32)^('Revenue Streams'!AF$4))</f>
        <v>2865.7255116695997</v>
      </c>
      <c r="AH50" s="171">
        <f>$AA50*((1+'Dashboard Control'!$D$32)^('Revenue Streams'!AG$4))</f>
        <v>2951.697277019688</v>
      </c>
      <c r="AI50" s="171">
        <f>$AA50*((1+'Dashboard Control'!$D$32)^('Revenue Streams'!AH$4))</f>
        <v>3040.2481953302781</v>
      </c>
      <c r="AJ50" s="171">
        <f>$AA50*((1+'Dashboard Control'!$D$32)^('Revenue Streams'!AI$4))</f>
        <v>3131.4556411901867</v>
      </c>
      <c r="AK50" s="171">
        <f>$AA50*((1+'Dashboard Control'!$D$32)^('Revenue Streams'!AJ$4))</f>
        <v>3225.3993104258921</v>
      </c>
    </row>
    <row r="51" spans="2:37" x14ac:dyDescent="0.3">
      <c r="B51" t="s">
        <v>199</v>
      </c>
      <c r="E51">
        <v>45</v>
      </c>
      <c r="Z51" s="10"/>
      <c r="AA51" s="170">
        <v>2400</v>
      </c>
      <c r="AB51" s="171">
        <f>$AA51*((1+'Dashboard Control'!$D$32)^('Revenue Streams'!AA$4))</f>
        <v>2472</v>
      </c>
      <c r="AC51" s="171">
        <f>$AA51*((1+'Dashboard Control'!$D$32)^('Revenue Streams'!AB$4))</f>
        <v>2546.16</v>
      </c>
      <c r="AD51" s="171">
        <f>$AA51*((1+'Dashboard Control'!$D$32)^('Revenue Streams'!AC$4))</f>
        <v>2622.5448000000001</v>
      </c>
      <c r="AE51" s="171">
        <f>$AA51*((1+'Dashboard Control'!$D$32)^('Revenue Streams'!AD$4))</f>
        <v>2701.2211439999996</v>
      </c>
      <c r="AF51" s="171">
        <f>$AA51*((1+'Dashboard Control'!$D$32)^('Revenue Streams'!AE$4))</f>
        <v>2782.2577783199995</v>
      </c>
      <c r="AG51" s="171">
        <f>$AA51*((1+'Dashboard Control'!$D$32)^('Revenue Streams'!AF$4))</f>
        <v>2865.7255116695997</v>
      </c>
      <c r="AH51" s="171">
        <f>$AA51*((1+'Dashboard Control'!$D$32)^('Revenue Streams'!AG$4))</f>
        <v>2951.697277019688</v>
      </c>
      <c r="AI51" s="171">
        <f>$AA51*((1+'Dashboard Control'!$D$32)^('Revenue Streams'!AH$4))</f>
        <v>3040.2481953302781</v>
      </c>
      <c r="AJ51" s="171">
        <f>$AA51*((1+'Dashboard Control'!$D$32)^('Revenue Streams'!AI$4))</f>
        <v>3131.4556411901867</v>
      </c>
      <c r="AK51" s="171">
        <f>$AA51*((1+'Dashboard Control'!$D$32)^('Revenue Streams'!AJ$4))</f>
        <v>3225.3993104258921</v>
      </c>
    </row>
    <row r="52" spans="2:37" x14ac:dyDescent="0.3">
      <c r="B52" t="s">
        <v>199</v>
      </c>
      <c r="E52">
        <v>46</v>
      </c>
      <c r="Z52" s="10"/>
      <c r="AA52" s="170">
        <v>2400</v>
      </c>
      <c r="AB52" s="171">
        <f>$AA52*((1+'Dashboard Control'!$D$32)^('Revenue Streams'!AA$4))</f>
        <v>2472</v>
      </c>
      <c r="AC52" s="171">
        <f>$AA52*((1+'Dashboard Control'!$D$32)^('Revenue Streams'!AB$4))</f>
        <v>2546.16</v>
      </c>
      <c r="AD52" s="171">
        <f>$AA52*((1+'Dashboard Control'!$D$32)^('Revenue Streams'!AC$4))</f>
        <v>2622.5448000000001</v>
      </c>
      <c r="AE52" s="171">
        <f>$AA52*((1+'Dashboard Control'!$D$32)^('Revenue Streams'!AD$4))</f>
        <v>2701.2211439999996</v>
      </c>
      <c r="AF52" s="171">
        <f>$AA52*((1+'Dashboard Control'!$D$32)^('Revenue Streams'!AE$4))</f>
        <v>2782.2577783199995</v>
      </c>
      <c r="AG52" s="171">
        <f>$AA52*((1+'Dashboard Control'!$D$32)^('Revenue Streams'!AF$4))</f>
        <v>2865.7255116695997</v>
      </c>
      <c r="AH52" s="171">
        <f>$AA52*((1+'Dashboard Control'!$D$32)^('Revenue Streams'!AG$4))</f>
        <v>2951.697277019688</v>
      </c>
      <c r="AI52" s="171">
        <f>$AA52*((1+'Dashboard Control'!$D$32)^('Revenue Streams'!AH$4))</f>
        <v>3040.2481953302781</v>
      </c>
      <c r="AJ52" s="171">
        <f>$AA52*((1+'Dashboard Control'!$D$32)^('Revenue Streams'!AI$4))</f>
        <v>3131.4556411901867</v>
      </c>
      <c r="AK52" s="171">
        <f>$AA52*((1+'Dashboard Control'!$D$32)^('Revenue Streams'!AJ$4))</f>
        <v>3225.3993104258921</v>
      </c>
    </row>
    <row r="53" spans="2:37" x14ac:dyDescent="0.3">
      <c r="B53" t="s">
        <v>199</v>
      </c>
      <c r="E53">
        <v>47</v>
      </c>
      <c r="Z53" s="10"/>
      <c r="AA53" s="170">
        <v>2400</v>
      </c>
      <c r="AB53" s="171">
        <f>$AA53*((1+'Dashboard Control'!$D$32)^('Revenue Streams'!AA$4))</f>
        <v>2472</v>
      </c>
      <c r="AC53" s="171">
        <f>$AA53*((1+'Dashboard Control'!$D$32)^('Revenue Streams'!AB$4))</f>
        <v>2546.16</v>
      </c>
      <c r="AD53" s="171">
        <f>$AA53*((1+'Dashboard Control'!$D$32)^('Revenue Streams'!AC$4))</f>
        <v>2622.5448000000001</v>
      </c>
      <c r="AE53" s="171">
        <f>$AA53*((1+'Dashboard Control'!$D$32)^('Revenue Streams'!AD$4))</f>
        <v>2701.2211439999996</v>
      </c>
      <c r="AF53" s="171">
        <f>$AA53*((1+'Dashboard Control'!$D$32)^('Revenue Streams'!AE$4))</f>
        <v>2782.2577783199995</v>
      </c>
      <c r="AG53" s="171">
        <f>$AA53*((1+'Dashboard Control'!$D$32)^('Revenue Streams'!AF$4))</f>
        <v>2865.7255116695997</v>
      </c>
      <c r="AH53" s="171">
        <f>$AA53*((1+'Dashboard Control'!$D$32)^('Revenue Streams'!AG$4))</f>
        <v>2951.697277019688</v>
      </c>
      <c r="AI53" s="171">
        <f>$AA53*((1+'Dashboard Control'!$D$32)^('Revenue Streams'!AH$4))</f>
        <v>3040.2481953302781</v>
      </c>
      <c r="AJ53" s="171">
        <f>$AA53*((1+'Dashboard Control'!$D$32)^('Revenue Streams'!AI$4))</f>
        <v>3131.4556411901867</v>
      </c>
      <c r="AK53" s="171">
        <f>$AA53*((1+'Dashboard Control'!$D$32)^('Revenue Streams'!AJ$4))</f>
        <v>3225.3993104258921</v>
      </c>
    </row>
    <row r="54" spans="2:37" x14ac:dyDescent="0.3">
      <c r="B54" t="s">
        <v>199</v>
      </c>
      <c r="E54">
        <v>48</v>
      </c>
      <c r="Z54" s="10"/>
      <c r="AA54" s="170">
        <v>2400</v>
      </c>
      <c r="AB54" s="171">
        <f>$AA54*((1+'Dashboard Control'!$D$32)^('Revenue Streams'!AA$4))</f>
        <v>2472</v>
      </c>
      <c r="AC54" s="171">
        <f>$AA54*((1+'Dashboard Control'!$D$32)^('Revenue Streams'!AB$4))</f>
        <v>2546.16</v>
      </c>
      <c r="AD54" s="171">
        <f>$AA54*((1+'Dashboard Control'!$D$32)^('Revenue Streams'!AC$4))</f>
        <v>2622.5448000000001</v>
      </c>
      <c r="AE54" s="171">
        <f>$AA54*((1+'Dashboard Control'!$D$32)^('Revenue Streams'!AD$4))</f>
        <v>2701.2211439999996</v>
      </c>
      <c r="AF54" s="171">
        <f>$AA54*((1+'Dashboard Control'!$D$32)^('Revenue Streams'!AE$4))</f>
        <v>2782.2577783199995</v>
      </c>
      <c r="AG54" s="171">
        <f>$AA54*((1+'Dashboard Control'!$D$32)^('Revenue Streams'!AF$4))</f>
        <v>2865.7255116695997</v>
      </c>
      <c r="AH54" s="171">
        <f>$AA54*((1+'Dashboard Control'!$D$32)^('Revenue Streams'!AG$4))</f>
        <v>2951.697277019688</v>
      </c>
      <c r="AI54" s="171">
        <f>$AA54*((1+'Dashboard Control'!$D$32)^('Revenue Streams'!AH$4))</f>
        <v>3040.2481953302781</v>
      </c>
      <c r="AJ54" s="171">
        <f>$AA54*((1+'Dashboard Control'!$D$32)^('Revenue Streams'!AI$4))</f>
        <v>3131.4556411901867</v>
      </c>
      <c r="AK54" s="171">
        <f>$AA54*((1+'Dashboard Control'!$D$32)^('Revenue Streams'!AJ$4))</f>
        <v>3225.3993104258921</v>
      </c>
    </row>
    <row r="55" spans="2:37" x14ac:dyDescent="0.3">
      <c r="B55" t="s">
        <v>199</v>
      </c>
      <c r="E55">
        <v>49</v>
      </c>
      <c r="Z55" s="10"/>
      <c r="AA55" s="170">
        <v>2400</v>
      </c>
      <c r="AB55" s="171">
        <f>$AA55*((1+'Dashboard Control'!$D$32)^('Revenue Streams'!AA$4))</f>
        <v>2472</v>
      </c>
      <c r="AC55" s="171">
        <f>$AA55*((1+'Dashboard Control'!$D$32)^('Revenue Streams'!AB$4))</f>
        <v>2546.16</v>
      </c>
      <c r="AD55" s="171">
        <f>$AA55*((1+'Dashboard Control'!$D$32)^('Revenue Streams'!AC$4))</f>
        <v>2622.5448000000001</v>
      </c>
      <c r="AE55" s="171">
        <f>$AA55*((1+'Dashboard Control'!$D$32)^('Revenue Streams'!AD$4))</f>
        <v>2701.2211439999996</v>
      </c>
      <c r="AF55" s="171">
        <f>$AA55*((1+'Dashboard Control'!$D$32)^('Revenue Streams'!AE$4))</f>
        <v>2782.2577783199995</v>
      </c>
      <c r="AG55" s="171">
        <f>$AA55*((1+'Dashboard Control'!$D$32)^('Revenue Streams'!AF$4))</f>
        <v>2865.7255116695997</v>
      </c>
      <c r="AH55" s="171">
        <f>$AA55*((1+'Dashboard Control'!$D$32)^('Revenue Streams'!AG$4))</f>
        <v>2951.697277019688</v>
      </c>
      <c r="AI55" s="171">
        <f>$AA55*((1+'Dashboard Control'!$D$32)^('Revenue Streams'!AH$4))</f>
        <v>3040.2481953302781</v>
      </c>
      <c r="AJ55" s="171">
        <f>$AA55*((1+'Dashboard Control'!$D$32)^('Revenue Streams'!AI$4))</f>
        <v>3131.4556411901867</v>
      </c>
      <c r="AK55" s="171">
        <f>$AA55*((1+'Dashboard Control'!$D$32)^('Revenue Streams'!AJ$4))</f>
        <v>3225.3993104258921</v>
      </c>
    </row>
    <row r="56" spans="2:37" x14ac:dyDescent="0.3">
      <c r="B56" t="s">
        <v>199</v>
      </c>
      <c r="E56">
        <v>50</v>
      </c>
      <c r="Z56" s="10"/>
      <c r="AA56" s="170">
        <v>2400</v>
      </c>
      <c r="AB56" s="171">
        <f>$AA56*((1+'Dashboard Control'!$D$32)^('Revenue Streams'!AA$4))</f>
        <v>2472</v>
      </c>
      <c r="AC56" s="171">
        <f>$AA56*((1+'Dashboard Control'!$D$32)^('Revenue Streams'!AB$4))</f>
        <v>2546.16</v>
      </c>
      <c r="AD56" s="171">
        <f>$AA56*((1+'Dashboard Control'!$D$32)^('Revenue Streams'!AC$4))</f>
        <v>2622.5448000000001</v>
      </c>
      <c r="AE56" s="171">
        <f>$AA56*((1+'Dashboard Control'!$D$32)^('Revenue Streams'!AD$4))</f>
        <v>2701.2211439999996</v>
      </c>
      <c r="AF56" s="171">
        <f>$AA56*((1+'Dashboard Control'!$D$32)^('Revenue Streams'!AE$4))</f>
        <v>2782.2577783199995</v>
      </c>
      <c r="AG56" s="171">
        <f>$AA56*((1+'Dashboard Control'!$D$32)^('Revenue Streams'!AF$4))</f>
        <v>2865.7255116695997</v>
      </c>
      <c r="AH56" s="171">
        <f>$AA56*((1+'Dashboard Control'!$D$32)^('Revenue Streams'!AG$4))</f>
        <v>2951.697277019688</v>
      </c>
      <c r="AI56" s="171">
        <f>$AA56*((1+'Dashboard Control'!$D$32)^('Revenue Streams'!AH$4))</f>
        <v>3040.2481953302781</v>
      </c>
      <c r="AJ56" s="171">
        <f>$AA56*((1+'Dashboard Control'!$D$32)^('Revenue Streams'!AI$4))</f>
        <v>3131.4556411901867</v>
      </c>
      <c r="AK56" s="171">
        <f>$AA56*((1+'Dashboard Control'!$D$32)^('Revenue Streams'!AJ$4))</f>
        <v>3225.3993104258921</v>
      </c>
    </row>
    <row r="57" spans="2:37" x14ac:dyDescent="0.3">
      <c r="B57" t="s">
        <v>199</v>
      </c>
      <c r="E57">
        <v>69</v>
      </c>
      <c r="Z57" s="10"/>
      <c r="AA57" s="170">
        <v>2400</v>
      </c>
      <c r="AB57" s="171">
        <f>$AA57*((1+'Dashboard Control'!$D$32)^('Revenue Streams'!AA$4))</f>
        <v>2472</v>
      </c>
      <c r="AC57" s="171">
        <f>$AA57*((1+'Dashboard Control'!$D$32)^('Revenue Streams'!AB$4))</f>
        <v>2546.16</v>
      </c>
      <c r="AD57" s="171">
        <f>$AA57*((1+'Dashboard Control'!$D$32)^('Revenue Streams'!AC$4))</f>
        <v>2622.5448000000001</v>
      </c>
      <c r="AE57" s="171">
        <f>$AA57*((1+'Dashboard Control'!$D$32)^('Revenue Streams'!AD$4))</f>
        <v>2701.2211439999996</v>
      </c>
      <c r="AF57" s="171">
        <f>$AA57*((1+'Dashboard Control'!$D$32)^('Revenue Streams'!AE$4))</f>
        <v>2782.2577783199995</v>
      </c>
      <c r="AG57" s="171">
        <f>$AA57*((1+'Dashboard Control'!$D$32)^('Revenue Streams'!AF$4))</f>
        <v>2865.7255116695997</v>
      </c>
      <c r="AH57" s="171">
        <f>$AA57*((1+'Dashboard Control'!$D$32)^('Revenue Streams'!AG$4))</f>
        <v>2951.697277019688</v>
      </c>
      <c r="AI57" s="171">
        <f>$AA57*((1+'Dashboard Control'!$D$32)^('Revenue Streams'!AH$4))</f>
        <v>3040.2481953302781</v>
      </c>
      <c r="AJ57" s="171">
        <f>$AA57*((1+'Dashboard Control'!$D$32)^('Revenue Streams'!AI$4))</f>
        <v>3131.4556411901867</v>
      </c>
      <c r="AK57" s="171">
        <f>$AA57*((1+'Dashboard Control'!$D$32)^('Revenue Streams'!AJ$4))</f>
        <v>3225.3993104258921</v>
      </c>
    </row>
    <row r="58" spans="2:37" x14ac:dyDescent="0.3">
      <c r="B58" t="s">
        <v>199</v>
      </c>
      <c r="E58">
        <v>70</v>
      </c>
      <c r="Z58" s="10"/>
      <c r="AA58" s="170">
        <v>2400</v>
      </c>
      <c r="AB58" s="171">
        <f>$AA58*((1+'Dashboard Control'!$D$32)^('Revenue Streams'!AA$4))</f>
        <v>2472</v>
      </c>
      <c r="AC58" s="171">
        <f>$AA58*((1+'Dashboard Control'!$D$32)^('Revenue Streams'!AB$4))</f>
        <v>2546.16</v>
      </c>
      <c r="AD58" s="171">
        <f>$AA58*((1+'Dashboard Control'!$D$32)^('Revenue Streams'!AC$4))</f>
        <v>2622.5448000000001</v>
      </c>
      <c r="AE58" s="171">
        <f>$AA58*((1+'Dashboard Control'!$D$32)^('Revenue Streams'!AD$4))</f>
        <v>2701.2211439999996</v>
      </c>
      <c r="AF58" s="171">
        <f>$AA58*((1+'Dashboard Control'!$D$32)^('Revenue Streams'!AE$4))</f>
        <v>2782.2577783199995</v>
      </c>
      <c r="AG58" s="171">
        <f>$AA58*((1+'Dashboard Control'!$D$32)^('Revenue Streams'!AF$4))</f>
        <v>2865.7255116695997</v>
      </c>
      <c r="AH58" s="171">
        <f>$AA58*((1+'Dashboard Control'!$D$32)^('Revenue Streams'!AG$4))</f>
        <v>2951.697277019688</v>
      </c>
      <c r="AI58" s="171">
        <f>$AA58*((1+'Dashboard Control'!$D$32)^('Revenue Streams'!AH$4))</f>
        <v>3040.2481953302781</v>
      </c>
      <c r="AJ58" s="171">
        <f>$AA58*((1+'Dashboard Control'!$D$32)^('Revenue Streams'!AI$4))</f>
        <v>3131.4556411901867</v>
      </c>
      <c r="AK58" s="171">
        <f>$AA58*((1+'Dashboard Control'!$D$32)^('Revenue Streams'!AJ$4))</f>
        <v>3225.3993104258921</v>
      </c>
    </row>
    <row r="59" spans="2:37" x14ac:dyDescent="0.3">
      <c r="B59" t="s">
        <v>199</v>
      </c>
      <c r="E59">
        <v>71</v>
      </c>
      <c r="Z59" s="10"/>
      <c r="AA59" s="170">
        <v>2400</v>
      </c>
      <c r="AB59" s="171">
        <f>$AA59*((1+'Dashboard Control'!$D$32)^('Revenue Streams'!AA$4))</f>
        <v>2472</v>
      </c>
      <c r="AC59" s="171">
        <f>$AA59*((1+'Dashboard Control'!$D$32)^('Revenue Streams'!AB$4))</f>
        <v>2546.16</v>
      </c>
      <c r="AD59" s="171">
        <f>$AA59*((1+'Dashboard Control'!$D$32)^('Revenue Streams'!AC$4))</f>
        <v>2622.5448000000001</v>
      </c>
      <c r="AE59" s="171">
        <f>$AA59*((1+'Dashboard Control'!$D$32)^('Revenue Streams'!AD$4))</f>
        <v>2701.2211439999996</v>
      </c>
      <c r="AF59" s="171">
        <f>$AA59*((1+'Dashboard Control'!$D$32)^('Revenue Streams'!AE$4))</f>
        <v>2782.2577783199995</v>
      </c>
      <c r="AG59" s="171">
        <f>$AA59*((1+'Dashboard Control'!$D$32)^('Revenue Streams'!AF$4))</f>
        <v>2865.7255116695997</v>
      </c>
      <c r="AH59" s="171">
        <f>$AA59*((1+'Dashboard Control'!$D$32)^('Revenue Streams'!AG$4))</f>
        <v>2951.697277019688</v>
      </c>
      <c r="AI59" s="171">
        <f>$AA59*((1+'Dashboard Control'!$D$32)^('Revenue Streams'!AH$4))</f>
        <v>3040.2481953302781</v>
      </c>
      <c r="AJ59" s="171">
        <f>$AA59*((1+'Dashboard Control'!$D$32)^('Revenue Streams'!AI$4))</f>
        <v>3131.4556411901867</v>
      </c>
      <c r="AK59" s="171">
        <f>$AA59*((1+'Dashboard Control'!$D$32)^('Revenue Streams'!AJ$4))</f>
        <v>3225.3993104258921</v>
      </c>
    </row>
    <row r="60" spans="2:37" x14ac:dyDescent="0.3">
      <c r="B60" t="s">
        <v>199</v>
      </c>
      <c r="E60">
        <v>72</v>
      </c>
      <c r="Z60" s="10"/>
      <c r="AA60" s="170">
        <v>2400</v>
      </c>
      <c r="AB60" s="171">
        <f>$AA60*((1+'Dashboard Control'!$D$32)^('Revenue Streams'!AA$4))</f>
        <v>2472</v>
      </c>
      <c r="AC60" s="171">
        <f>$AA60*((1+'Dashboard Control'!$D$32)^('Revenue Streams'!AB$4))</f>
        <v>2546.16</v>
      </c>
      <c r="AD60" s="171">
        <f>$AA60*((1+'Dashboard Control'!$D$32)^('Revenue Streams'!AC$4))</f>
        <v>2622.5448000000001</v>
      </c>
      <c r="AE60" s="171">
        <f>$AA60*((1+'Dashboard Control'!$D$32)^('Revenue Streams'!AD$4))</f>
        <v>2701.2211439999996</v>
      </c>
      <c r="AF60" s="171">
        <f>$AA60*((1+'Dashboard Control'!$D$32)^('Revenue Streams'!AE$4))</f>
        <v>2782.2577783199995</v>
      </c>
      <c r="AG60" s="171">
        <f>$AA60*((1+'Dashboard Control'!$D$32)^('Revenue Streams'!AF$4))</f>
        <v>2865.7255116695997</v>
      </c>
      <c r="AH60" s="171">
        <f>$AA60*((1+'Dashboard Control'!$D$32)^('Revenue Streams'!AG$4))</f>
        <v>2951.697277019688</v>
      </c>
      <c r="AI60" s="171">
        <f>$AA60*((1+'Dashboard Control'!$D$32)^('Revenue Streams'!AH$4))</f>
        <v>3040.2481953302781</v>
      </c>
      <c r="AJ60" s="171">
        <f>$AA60*((1+'Dashboard Control'!$D$32)^('Revenue Streams'!AI$4))</f>
        <v>3131.4556411901867</v>
      </c>
      <c r="AK60" s="171">
        <f>$AA60*((1+'Dashboard Control'!$D$32)^('Revenue Streams'!AJ$4))</f>
        <v>3225.3993104258921</v>
      </c>
    </row>
    <row r="61" spans="2:37" x14ac:dyDescent="0.3">
      <c r="B61" t="s">
        <v>199</v>
      </c>
      <c r="E61">
        <v>73</v>
      </c>
      <c r="Z61" s="10"/>
      <c r="AA61" s="170">
        <v>2400</v>
      </c>
      <c r="AB61" s="171">
        <f>$AA61*((1+'Dashboard Control'!$D$32)^('Revenue Streams'!AA$4))</f>
        <v>2472</v>
      </c>
      <c r="AC61" s="171">
        <f>$AA61*((1+'Dashboard Control'!$D$32)^('Revenue Streams'!AB$4))</f>
        <v>2546.16</v>
      </c>
      <c r="AD61" s="171">
        <f>$AA61*((1+'Dashboard Control'!$D$32)^('Revenue Streams'!AC$4))</f>
        <v>2622.5448000000001</v>
      </c>
      <c r="AE61" s="171">
        <f>$AA61*((1+'Dashboard Control'!$D$32)^('Revenue Streams'!AD$4))</f>
        <v>2701.2211439999996</v>
      </c>
      <c r="AF61" s="171">
        <f>$AA61*((1+'Dashboard Control'!$D$32)^('Revenue Streams'!AE$4))</f>
        <v>2782.2577783199995</v>
      </c>
      <c r="AG61" s="171">
        <f>$AA61*((1+'Dashboard Control'!$D$32)^('Revenue Streams'!AF$4))</f>
        <v>2865.7255116695997</v>
      </c>
      <c r="AH61" s="171">
        <f>$AA61*((1+'Dashboard Control'!$D$32)^('Revenue Streams'!AG$4))</f>
        <v>2951.697277019688</v>
      </c>
      <c r="AI61" s="171">
        <f>$AA61*((1+'Dashboard Control'!$D$32)^('Revenue Streams'!AH$4))</f>
        <v>3040.2481953302781</v>
      </c>
      <c r="AJ61" s="171">
        <f>$AA61*((1+'Dashboard Control'!$D$32)^('Revenue Streams'!AI$4))</f>
        <v>3131.4556411901867</v>
      </c>
      <c r="AK61" s="171">
        <f>$AA61*((1+'Dashboard Control'!$D$32)^('Revenue Streams'!AJ$4))</f>
        <v>3225.3993104258921</v>
      </c>
    </row>
    <row r="62" spans="2:37" x14ac:dyDescent="0.3">
      <c r="B62" t="s">
        <v>199</v>
      </c>
      <c r="E62">
        <v>74</v>
      </c>
      <c r="Z62" s="10"/>
      <c r="AA62" s="170">
        <v>2400</v>
      </c>
      <c r="AB62" s="171">
        <f>$AA62*((1+'Dashboard Control'!$D$32)^('Revenue Streams'!AA$4))</f>
        <v>2472</v>
      </c>
      <c r="AC62" s="171">
        <f>$AA62*((1+'Dashboard Control'!$D$32)^('Revenue Streams'!AB$4))</f>
        <v>2546.16</v>
      </c>
      <c r="AD62" s="171">
        <f>$AA62*((1+'Dashboard Control'!$D$32)^('Revenue Streams'!AC$4))</f>
        <v>2622.5448000000001</v>
      </c>
      <c r="AE62" s="171">
        <f>$AA62*((1+'Dashboard Control'!$D$32)^('Revenue Streams'!AD$4))</f>
        <v>2701.2211439999996</v>
      </c>
      <c r="AF62" s="171">
        <f>$AA62*((1+'Dashboard Control'!$D$32)^('Revenue Streams'!AE$4))</f>
        <v>2782.2577783199995</v>
      </c>
      <c r="AG62" s="171">
        <f>$AA62*((1+'Dashboard Control'!$D$32)^('Revenue Streams'!AF$4))</f>
        <v>2865.7255116695997</v>
      </c>
      <c r="AH62" s="171">
        <f>$AA62*((1+'Dashboard Control'!$D$32)^('Revenue Streams'!AG$4))</f>
        <v>2951.697277019688</v>
      </c>
      <c r="AI62" s="171">
        <f>$AA62*((1+'Dashboard Control'!$D$32)^('Revenue Streams'!AH$4))</f>
        <v>3040.2481953302781</v>
      </c>
      <c r="AJ62" s="171">
        <f>$AA62*((1+'Dashboard Control'!$D$32)^('Revenue Streams'!AI$4))</f>
        <v>3131.4556411901867</v>
      </c>
      <c r="AK62" s="171">
        <f>$AA62*((1+'Dashboard Control'!$D$32)^('Revenue Streams'!AJ$4))</f>
        <v>3225.3993104258921</v>
      </c>
    </row>
    <row r="63" spans="2:37" x14ac:dyDescent="0.3">
      <c r="B63" t="s">
        <v>199</v>
      </c>
      <c r="E63">
        <v>75</v>
      </c>
      <c r="Z63" s="10"/>
      <c r="AA63" s="170">
        <v>2400</v>
      </c>
      <c r="AB63" s="171">
        <f>$AA63*((1+'Dashboard Control'!$D$32)^('Revenue Streams'!AA$4))</f>
        <v>2472</v>
      </c>
      <c r="AC63" s="171">
        <f>$AA63*((1+'Dashboard Control'!$D$32)^('Revenue Streams'!AB$4))</f>
        <v>2546.16</v>
      </c>
      <c r="AD63" s="171">
        <f>$AA63*((1+'Dashboard Control'!$D$32)^('Revenue Streams'!AC$4))</f>
        <v>2622.5448000000001</v>
      </c>
      <c r="AE63" s="171">
        <f>$AA63*((1+'Dashboard Control'!$D$32)^('Revenue Streams'!AD$4))</f>
        <v>2701.2211439999996</v>
      </c>
      <c r="AF63" s="171">
        <f>$AA63*((1+'Dashboard Control'!$D$32)^('Revenue Streams'!AE$4))</f>
        <v>2782.2577783199995</v>
      </c>
      <c r="AG63" s="171">
        <f>$AA63*((1+'Dashboard Control'!$D$32)^('Revenue Streams'!AF$4))</f>
        <v>2865.7255116695997</v>
      </c>
      <c r="AH63" s="171">
        <f>$AA63*((1+'Dashboard Control'!$D$32)^('Revenue Streams'!AG$4))</f>
        <v>2951.697277019688</v>
      </c>
      <c r="AI63" s="171">
        <f>$AA63*((1+'Dashboard Control'!$D$32)^('Revenue Streams'!AH$4))</f>
        <v>3040.2481953302781</v>
      </c>
      <c r="AJ63" s="171">
        <f>$AA63*((1+'Dashboard Control'!$D$32)^('Revenue Streams'!AI$4))</f>
        <v>3131.4556411901867</v>
      </c>
      <c r="AK63" s="171">
        <f>$AA63*((1+'Dashboard Control'!$D$32)^('Revenue Streams'!AJ$4))</f>
        <v>3225.3993104258921</v>
      </c>
    </row>
    <row r="64" spans="2:37" ht="15.75" customHeight="1" x14ac:dyDescent="0.3">
      <c r="B64" t="s">
        <v>199</v>
      </c>
      <c r="E64">
        <v>76</v>
      </c>
      <c r="Z64" s="10"/>
      <c r="AA64" s="170">
        <v>2400</v>
      </c>
      <c r="AB64" s="171">
        <f>$AA64*((1+'Dashboard Control'!$D$32)^('Revenue Streams'!AA$4))</f>
        <v>2472</v>
      </c>
      <c r="AC64" s="171">
        <f>$AA64*((1+'Dashboard Control'!$D$32)^('Revenue Streams'!AB$4))</f>
        <v>2546.16</v>
      </c>
      <c r="AD64" s="171">
        <f>$AA64*((1+'Dashboard Control'!$D$32)^('Revenue Streams'!AC$4))</f>
        <v>2622.5448000000001</v>
      </c>
      <c r="AE64" s="171">
        <f>$AA64*((1+'Dashboard Control'!$D$32)^('Revenue Streams'!AD$4))</f>
        <v>2701.2211439999996</v>
      </c>
      <c r="AF64" s="171">
        <f>$AA64*((1+'Dashboard Control'!$D$32)^('Revenue Streams'!AE$4))</f>
        <v>2782.2577783199995</v>
      </c>
      <c r="AG64" s="171">
        <f>$AA64*((1+'Dashboard Control'!$D$32)^('Revenue Streams'!AF$4))</f>
        <v>2865.7255116695997</v>
      </c>
      <c r="AH64" s="171">
        <f>$AA64*((1+'Dashboard Control'!$D$32)^('Revenue Streams'!AG$4))</f>
        <v>2951.697277019688</v>
      </c>
      <c r="AI64" s="171">
        <f>$AA64*((1+'Dashboard Control'!$D$32)^('Revenue Streams'!AH$4))</f>
        <v>3040.2481953302781</v>
      </c>
      <c r="AJ64" s="171">
        <f>$AA64*((1+'Dashboard Control'!$D$32)^('Revenue Streams'!AI$4))</f>
        <v>3131.4556411901867</v>
      </c>
      <c r="AK64" s="171">
        <f>$AA64*((1+'Dashboard Control'!$D$32)^('Revenue Streams'!AJ$4))</f>
        <v>3225.3993104258921</v>
      </c>
    </row>
    <row r="65" spans="2:52" ht="15" customHeight="1" x14ac:dyDescent="0.3">
      <c r="B65" t="s">
        <v>199</v>
      </c>
      <c r="E65">
        <v>77</v>
      </c>
      <c r="T65" s="165"/>
      <c r="Z65" s="10"/>
      <c r="AA65" s="170">
        <v>2400</v>
      </c>
      <c r="AB65" s="171">
        <f>$AA65*((1+'Dashboard Control'!$D$32)^('Revenue Streams'!AA$4))</f>
        <v>2472</v>
      </c>
      <c r="AC65" s="171">
        <f>$AA65*((1+'Dashboard Control'!$D$32)^('Revenue Streams'!AB$4))</f>
        <v>2546.16</v>
      </c>
      <c r="AD65" s="171">
        <f>$AA65*((1+'Dashboard Control'!$D$32)^('Revenue Streams'!AC$4))</f>
        <v>2622.5448000000001</v>
      </c>
      <c r="AE65" s="171">
        <f>$AA65*((1+'Dashboard Control'!$D$32)^('Revenue Streams'!AD$4))</f>
        <v>2701.2211439999996</v>
      </c>
      <c r="AF65" s="171">
        <f>$AA65*((1+'Dashboard Control'!$D$32)^('Revenue Streams'!AE$4))</f>
        <v>2782.2577783199995</v>
      </c>
      <c r="AG65" s="171">
        <f>$AA65*((1+'Dashboard Control'!$D$32)^('Revenue Streams'!AF$4))</f>
        <v>2865.7255116695997</v>
      </c>
      <c r="AH65" s="171">
        <f>$AA65*((1+'Dashboard Control'!$D$32)^('Revenue Streams'!AG$4))</f>
        <v>2951.697277019688</v>
      </c>
      <c r="AI65" s="171">
        <f>$AA65*((1+'Dashboard Control'!$D$32)^('Revenue Streams'!AH$4))</f>
        <v>3040.2481953302781</v>
      </c>
      <c r="AJ65" s="171">
        <f>$AA65*((1+'Dashboard Control'!$D$32)^('Revenue Streams'!AI$4))</f>
        <v>3131.4556411901867</v>
      </c>
      <c r="AK65" s="171">
        <f>$AA65*((1+'Dashboard Control'!$D$32)^('Revenue Streams'!AJ$4))</f>
        <v>3225.3993104258921</v>
      </c>
    </row>
    <row r="66" spans="2:52" x14ac:dyDescent="0.3">
      <c r="B66" t="s">
        <v>199</v>
      </c>
      <c r="E66">
        <v>78</v>
      </c>
      <c r="T66" s="165"/>
      <c r="Z66" s="10"/>
      <c r="AA66" s="170">
        <v>2400</v>
      </c>
      <c r="AB66" s="171">
        <f>$AA66*((1+'Dashboard Control'!$D$32)^('Revenue Streams'!AA$4))</f>
        <v>2472</v>
      </c>
      <c r="AC66" s="171">
        <f>$AA66*((1+'Dashboard Control'!$D$32)^('Revenue Streams'!AB$4))</f>
        <v>2546.16</v>
      </c>
      <c r="AD66" s="171">
        <f>$AA66*((1+'Dashboard Control'!$D$32)^('Revenue Streams'!AC$4))</f>
        <v>2622.5448000000001</v>
      </c>
      <c r="AE66" s="171">
        <f>$AA66*((1+'Dashboard Control'!$D$32)^('Revenue Streams'!AD$4))</f>
        <v>2701.2211439999996</v>
      </c>
      <c r="AF66" s="171">
        <f>$AA66*((1+'Dashboard Control'!$D$32)^('Revenue Streams'!AE$4))</f>
        <v>2782.2577783199995</v>
      </c>
      <c r="AG66" s="171">
        <f>$AA66*((1+'Dashboard Control'!$D$32)^('Revenue Streams'!AF$4))</f>
        <v>2865.7255116695997</v>
      </c>
      <c r="AH66" s="171">
        <f>$AA66*((1+'Dashboard Control'!$D$32)^('Revenue Streams'!AG$4))</f>
        <v>2951.697277019688</v>
      </c>
      <c r="AI66" s="171">
        <f>$AA66*((1+'Dashboard Control'!$D$32)^('Revenue Streams'!AH$4))</f>
        <v>3040.2481953302781</v>
      </c>
      <c r="AJ66" s="171">
        <f>$AA66*((1+'Dashboard Control'!$D$32)^('Revenue Streams'!AI$4))</f>
        <v>3131.4556411901867</v>
      </c>
      <c r="AK66" s="171">
        <f>$AA66*((1+'Dashboard Control'!$D$32)^('Revenue Streams'!AJ$4))</f>
        <v>3225.3993104258921</v>
      </c>
    </row>
    <row r="67" spans="2:52" x14ac:dyDescent="0.3">
      <c r="B67" t="s">
        <v>199</v>
      </c>
      <c r="E67">
        <v>79</v>
      </c>
      <c r="T67" s="165"/>
      <c r="Z67" s="10"/>
      <c r="AA67" s="170">
        <v>2400</v>
      </c>
      <c r="AB67" s="171">
        <f>$AA67*((1+'Dashboard Control'!$D$32)^('Revenue Streams'!AA$4))</f>
        <v>2472</v>
      </c>
      <c r="AC67" s="171">
        <f>$AA67*((1+'Dashboard Control'!$D$32)^('Revenue Streams'!AB$4))</f>
        <v>2546.16</v>
      </c>
      <c r="AD67" s="171">
        <f>$AA67*((1+'Dashboard Control'!$D$32)^('Revenue Streams'!AC$4))</f>
        <v>2622.5448000000001</v>
      </c>
      <c r="AE67" s="171">
        <f>$AA67*((1+'Dashboard Control'!$D$32)^('Revenue Streams'!AD$4))</f>
        <v>2701.2211439999996</v>
      </c>
      <c r="AF67" s="171">
        <f>$AA67*((1+'Dashboard Control'!$D$32)^('Revenue Streams'!AE$4))</f>
        <v>2782.2577783199995</v>
      </c>
      <c r="AG67" s="171">
        <f>$AA67*((1+'Dashboard Control'!$D$32)^('Revenue Streams'!AF$4))</f>
        <v>2865.7255116695997</v>
      </c>
      <c r="AH67" s="171">
        <f>$AA67*((1+'Dashboard Control'!$D$32)^('Revenue Streams'!AG$4))</f>
        <v>2951.697277019688</v>
      </c>
      <c r="AI67" s="171">
        <f>$AA67*((1+'Dashboard Control'!$D$32)^('Revenue Streams'!AH$4))</f>
        <v>3040.2481953302781</v>
      </c>
      <c r="AJ67" s="171">
        <f>$AA67*((1+'Dashboard Control'!$D$32)^('Revenue Streams'!AI$4))</f>
        <v>3131.4556411901867</v>
      </c>
      <c r="AK67" s="171">
        <f>$AA67*((1+'Dashboard Control'!$D$32)^('Revenue Streams'!AJ$4))</f>
        <v>3225.3993104258921</v>
      </c>
    </row>
    <row r="68" spans="2:52" x14ac:dyDescent="0.3">
      <c r="B68" t="s">
        <v>199</v>
      </c>
      <c r="E68">
        <v>80</v>
      </c>
      <c r="T68" s="165"/>
      <c r="Z68" s="10"/>
      <c r="AA68" s="170">
        <v>2400</v>
      </c>
      <c r="AB68" s="171">
        <f>$AA68*((1+'Dashboard Control'!$D$32)^('Revenue Streams'!AA$4))</f>
        <v>2472</v>
      </c>
      <c r="AC68" s="171">
        <f>$AA68*((1+'Dashboard Control'!$D$32)^('Revenue Streams'!AB$4))</f>
        <v>2546.16</v>
      </c>
      <c r="AD68" s="171">
        <f>$AA68*((1+'Dashboard Control'!$D$32)^('Revenue Streams'!AC$4))</f>
        <v>2622.5448000000001</v>
      </c>
      <c r="AE68" s="171">
        <f>$AA68*((1+'Dashboard Control'!$D$32)^('Revenue Streams'!AD$4))</f>
        <v>2701.2211439999996</v>
      </c>
      <c r="AF68" s="171">
        <f>$AA68*((1+'Dashboard Control'!$D$32)^('Revenue Streams'!AE$4))</f>
        <v>2782.2577783199995</v>
      </c>
      <c r="AG68" s="171">
        <f>$AA68*((1+'Dashboard Control'!$D$32)^('Revenue Streams'!AF$4))</f>
        <v>2865.7255116695997</v>
      </c>
      <c r="AH68" s="171">
        <f>$AA68*((1+'Dashboard Control'!$D$32)^('Revenue Streams'!AG$4))</f>
        <v>2951.697277019688</v>
      </c>
      <c r="AI68" s="171">
        <f>$AA68*((1+'Dashboard Control'!$D$32)^('Revenue Streams'!AH$4))</f>
        <v>3040.2481953302781</v>
      </c>
      <c r="AJ68" s="171">
        <f>$AA68*((1+'Dashboard Control'!$D$32)^('Revenue Streams'!AI$4))</f>
        <v>3131.4556411901867</v>
      </c>
      <c r="AK68" s="171">
        <f>$AA68*((1+'Dashboard Control'!$D$32)^('Revenue Streams'!AJ$4))</f>
        <v>3225.3993104258921</v>
      </c>
    </row>
    <row r="69" spans="2:52" x14ac:dyDescent="0.3">
      <c r="B69" t="s">
        <v>199</v>
      </c>
      <c r="E69">
        <v>81</v>
      </c>
      <c r="T69" s="165"/>
      <c r="Z69" s="10"/>
      <c r="AA69" s="170">
        <v>2400</v>
      </c>
      <c r="AB69" s="171">
        <f>$AA69*((1+'Dashboard Control'!$D$32)^('Revenue Streams'!AA$4))</f>
        <v>2472</v>
      </c>
      <c r="AC69" s="171">
        <f>$AA69*((1+'Dashboard Control'!$D$32)^('Revenue Streams'!AB$4))</f>
        <v>2546.16</v>
      </c>
      <c r="AD69" s="171">
        <f>$AA69*((1+'Dashboard Control'!$D$32)^('Revenue Streams'!AC$4))</f>
        <v>2622.5448000000001</v>
      </c>
      <c r="AE69" s="171">
        <f>$AA69*((1+'Dashboard Control'!$D$32)^('Revenue Streams'!AD$4))</f>
        <v>2701.2211439999996</v>
      </c>
      <c r="AF69" s="171">
        <f>$AA69*((1+'Dashboard Control'!$D$32)^('Revenue Streams'!AE$4))</f>
        <v>2782.2577783199995</v>
      </c>
      <c r="AG69" s="171">
        <f>$AA69*((1+'Dashboard Control'!$D$32)^('Revenue Streams'!AF$4))</f>
        <v>2865.7255116695997</v>
      </c>
      <c r="AH69" s="171">
        <f>$AA69*((1+'Dashboard Control'!$D$32)^('Revenue Streams'!AG$4))</f>
        <v>2951.697277019688</v>
      </c>
      <c r="AI69" s="171">
        <f>$AA69*((1+'Dashboard Control'!$D$32)^('Revenue Streams'!AH$4))</f>
        <v>3040.2481953302781</v>
      </c>
      <c r="AJ69" s="171">
        <f>$AA69*((1+'Dashboard Control'!$D$32)^('Revenue Streams'!AI$4))</f>
        <v>3131.4556411901867</v>
      </c>
      <c r="AK69" s="171">
        <f>$AA69*((1+'Dashboard Control'!$D$32)^('Revenue Streams'!AJ$4))</f>
        <v>3225.3993104258921</v>
      </c>
    </row>
    <row r="70" spans="2:52" ht="15" customHeight="1" x14ac:dyDescent="0.3">
      <c r="B70" t="s">
        <v>199</v>
      </c>
      <c r="E70">
        <v>82</v>
      </c>
      <c r="Z70" s="10"/>
      <c r="AA70" s="170">
        <v>2400</v>
      </c>
      <c r="AB70" s="171">
        <f>$AA70*((1+'Dashboard Control'!$D$32)^('Revenue Streams'!AA$4))</f>
        <v>2472</v>
      </c>
      <c r="AC70" s="171">
        <f>$AA70*((1+'Dashboard Control'!$D$32)^('Revenue Streams'!AB$4))</f>
        <v>2546.16</v>
      </c>
      <c r="AD70" s="171">
        <f>$AA70*((1+'Dashboard Control'!$D$32)^('Revenue Streams'!AC$4))</f>
        <v>2622.5448000000001</v>
      </c>
      <c r="AE70" s="171">
        <f>$AA70*((1+'Dashboard Control'!$D$32)^('Revenue Streams'!AD$4))</f>
        <v>2701.2211439999996</v>
      </c>
      <c r="AF70" s="171">
        <f>$AA70*((1+'Dashboard Control'!$D$32)^('Revenue Streams'!AE$4))</f>
        <v>2782.2577783199995</v>
      </c>
      <c r="AG70" s="171">
        <f>$AA70*((1+'Dashboard Control'!$D$32)^('Revenue Streams'!AF$4))</f>
        <v>2865.7255116695997</v>
      </c>
      <c r="AH70" s="171">
        <f>$AA70*((1+'Dashboard Control'!$D$32)^('Revenue Streams'!AG$4))</f>
        <v>2951.697277019688</v>
      </c>
      <c r="AI70" s="171">
        <f>$AA70*((1+'Dashboard Control'!$D$32)^('Revenue Streams'!AH$4))</f>
        <v>3040.2481953302781</v>
      </c>
      <c r="AJ70" s="171">
        <f>$AA70*((1+'Dashboard Control'!$D$32)^('Revenue Streams'!AI$4))</f>
        <v>3131.4556411901867</v>
      </c>
      <c r="AK70" s="171">
        <f>$AA70*((1+'Dashboard Control'!$D$32)^('Revenue Streams'!AJ$4))</f>
        <v>3225.3993104258921</v>
      </c>
    </row>
    <row r="71" spans="2:52" ht="15" customHeight="1" x14ac:dyDescent="0.3">
      <c r="B71" t="s">
        <v>199</v>
      </c>
      <c r="E71">
        <v>83</v>
      </c>
      <c r="T71" s="165"/>
      <c r="Z71" s="10"/>
      <c r="AA71" s="170">
        <v>2400</v>
      </c>
      <c r="AB71" s="171">
        <f>$AA71*((1+'Dashboard Control'!$D$32)^('Revenue Streams'!AA$4))</f>
        <v>2472</v>
      </c>
      <c r="AC71" s="171">
        <f>$AA71*((1+'Dashboard Control'!$D$32)^('Revenue Streams'!AB$4))</f>
        <v>2546.16</v>
      </c>
      <c r="AD71" s="171">
        <f>$AA71*((1+'Dashboard Control'!$D$32)^('Revenue Streams'!AC$4))</f>
        <v>2622.5448000000001</v>
      </c>
      <c r="AE71" s="171">
        <f>$AA71*((1+'Dashboard Control'!$D$32)^('Revenue Streams'!AD$4))</f>
        <v>2701.2211439999996</v>
      </c>
      <c r="AF71" s="171">
        <f>$AA71*((1+'Dashboard Control'!$D$32)^('Revenue Streams'!AE$4))</f>
        <v>2782.2577783199995</v>
      </c>
      <c r="AG71" s="171">
        <f>$AA71*((1+'Dashboard Control'!$D$32)^('Revenue Streams'!AF$4))</f>
        <v>2865.7255116695997</v>
      </c>
      <c r="AH71" s="171">
        <f>$AA71*((1+'Dashboard Control'!$D$32)^('Revenue Streams'!AG$4))</f>
        <v>2951.697277019688</v>
      </c>
      <c r="AI71" s="171">
        <f>$AA71*((1+'Dashboard Control'!$D$32)^('Revenue Streams'!AH$4))</f>
        <v>3040.2481953302781</v>
      </c>
      <c r="AJ71" s="171">
        <f>$AA71*((1+'Dashboard Control'!$D$32)^('Revenue Streams'!AI$4))</f>
        <v>3131.4556411901867</v>
      </c>
      <c r="AK71" s="171">
        <f>$AA71*((1+'Dashboard Control'!$D$32)^('Revenue Streams'!AJ$4))</f>
        <v>3225.3993104258921</v>
      </c>
    </row>
    <row r="72" spans="2:52" x14ac:dyDescent="0.3">
      <c r="B72" t="s">
        <v>199</v>
      </c>
      <c r="E72">
        <v>84</v>
      </c>
      <c r="Z72" s="10"/>
      <c r="AA72" s="170">
        <v>2400</v>
      </c>
      <c r="AB72" s="171">
        <f>$AA72*((1+'Dashboard Control'!$D$32)^('Revenue Streams'!AA$4))</f>
        <v>2472</v>
      </c>
      <c r="AC72" s="171">
        <f>$AA72*((1+'Dashboard Control'!$D$32)^('Revenue Streams'!AB$4))</f>
        <v>2546.16</v>
      </c>
      <c r="AD72" s="171">
        <f>$AA72*((1+'Dashboard Control'!$D$32)^('Revenue Streams'!AC$4))</f>
        <v>2622.5448000000001</v>
      </c>
      <c r="AE72" s="171">
        <f>$AA72*((1+'Dashboard Control'!$D$32)^('Revenue Streams'!AD$4))</f>
        <v>2701.2211439999996</v>
      </c>
      <c r="AF72" s="171">
        <f>$AA72*((1+'Dashboard Control'!$D$32)^('Revenue Streams'!AE$4))</f>
        <v>2782.2577783199995</v>
      </c>
      <c r="AG72" s="171">
        <f>$AA72*((1+'Dashboard Control'!$D$32)^('Revenue Streams'!AF$4))</f>
        <v>2865.7255116695997</v>
      </c>
      <c r="AH72" s="171">
        <f>$AA72*((1+'Dashboard Control'!$D$32)^('Revenue Streams'!AG$4))</f>
        <v>2951.697277019688</v>
      </c>
      <c r="AI72" s="171">
        <f>$AA72*((1+'Dashboard Control'!$D$32)^('Revenue Streams'!AH$4))</f>
        <v>3040.2481953302781</v>
      </c>
      <c r="AJ72" s="171">
        <f>$AA72*((1+'Dashboard Control'!$D$32)^('Revenue Streams'!AI$4))</f>
        <v>3131.4556411901867</v>
      </c>
      <c r="AK72" s="171">
        <f>$AA72*((1+'Dashboard Control'!$D$32)^('Revenue Streams'!AJ$4))</f>
        <v>3225.3993104258921</v>
      </c>
      <c r="AV72" s="4"/>
      <c r="AW72" s="4"/>
      <c r="AX72" s="4"/>
    </row>
    <row r="73" spans="2:52" x14ac:dyDescent="0.3">
      <c r="B73" t="s">
        <v>199</v>
      </c>
      <c r="E73">
        <v>85</v>
      </c>
      <c r="T73" s="165"/>
      <c r="Z73" s="10"/>
      <c r="AA73" s="170">
        <v>2400</v>
      </c>
      <c r="AB73" s="171">
        <f>$AA73*((1+'Dashboard Control'!$D$32)^('Revenue Streams'!AA$4))</f>
        <v>2472</v>
      </c>
      <c r="AC73" s="171">
        <f>$AA73*((1+'Dashboard Control'!$D$32)^('Revenue Streams'!AB$4))</f>
        <v>2546.16</v>
      </c>
      <c r="AD73" s="171">
        <f>$AA73*((1+'Dashboard Control'!$D$32)^('Revenue Streams'!AC$4))</f>
        <v>2622.5448000000001</v>
      </c>
      <c r="AE73" s="171">
        <f>$AA73*((1+'Dashboard Control'!$D$32)^('Revenue Streams'!AD$4))</f>
        <v>2701.2211439999996</v>
      </c>
      <c r="AF73" s="171">
        <f>$AA73*((1+'Dashboard Control'!$D$32)^('Revenue Streams'!AE$4))</f>
        <v>2782.2577783199995</v>
      </c>
      <c r="AG73" s="171">
        <f>$AA73*((1+'Dashboard Control'!$D$32)^('Revenue Streams'!AF$4))</f>
        <v>2865.7255116695997</v>
      </c>
      <c r="AH73" s="171">
        <f>$AA73*((1+'Dashboard Control'!$D$32)^('Revenue Streams'!AG$4))</f>
        <v>2951.697277019688</v>
      </c>
      <c r="AI73" s="171">
        <f>$AA73*((1+'Dashboard Control'!$D$32)^('Revenue Streams'!AH$4))</f>
        <v>3040.2481953302781</v>
      </c>
      <c r="AJ73" s="171">
        <f>$AA73*((1+'Dashboard Control'!$D$32)^('Revenue Streams'!AI$4))</f>
        <v>3131.4556411901867</v>
      </c>
      <c r="AK73" s="171">
        <f>$AA73*((1+'Dashboard Control'!$D$32)^('Revenue Streams'!AJ$4))</f>
        <v>3225.3993104258921</v>
      </c>
      <c r="AV73" s="4"/>
      <c r="AW73" s="4"/>
      <c r="AX73" s="4"/>
    </row>
    <row r="74" spans="2:52" x14ac:dyDescent="0.3">
      <c r="B74" t="s">
        <v>199</v>
      </c>
      <c r="E74">
        <v>86</v>
      </c>
      <c r="T74" s="165"/>
      <c r="Z74" s="10"/>
      <c r="AA74" s="170">
        <v>2400</v>
      </c>
      <c r="AB74" s="171">
        <f>$AA74*((1+'Dashboard Control'!$D$32)^('Revenue Streams'!AA$4))</f>
        <v>2472</v>
      </c>
      <c r="AC74" s="171">
        <f>$AA74*((1+'Dashboard Control'!$D$32)^('Revenue Streams'!AB$4))</f>
        <v>2546.16</v>
      </c>
      <c r="AD74" s="171">
        <f>$AA74*((1+'Dashboard Control'!$D$32)^('Revenue Streams'!AC$4))</f>
        <v>2622.5448000000001</v>
      </c>
      <c r="AE74" s="171">
        <f>$AA74*((1+'Dashboard Control'!$D$32)^('Revenue Streams'!AD$4))</f>
        <v>2701.2211439999996</v>
      </c>
      <c r="AF74" s="171">
        <f>$AA74*((1+'Dashboard Control'!$D$32)^('Revenue Streams'!AE$4))</f>
        <v>2782.2577783199995</v>
      </c>
      <c r="AG74" s="171">
        <f>$AA74*((1+'Dashboard Control'!$D$32)^('Revenue Streams'!AF$4))</f>
        <v>2865.7255116695997</v>
      </c>
      <c r="AH74" s="171">
        <f>$AA74*((1+'Dashboard Control'!$D$32)^('Revenue Streams'!AG$4))</f>
        <v>2951.697277019688</v>
      </c>
      <c r="AI74" s="171">
        <f>$AA74*((1+'Dashboard Control'!$D$32)^('Revenue Streams'!AH$4))</f>
        <v>3040.2481953302781</v>
      </c>
      <c r="AJ74" s="171">
        <f>$AA74*((1+'Dashboard Control'!$D$32)^('Revenue Streams'!AI$4))</f>
        <v>3131.4556411901867</v>
      </c>
      <c r="AK74" s="171">
        <f>$AA74*((1+'Dashboard Control'!$D$32)^('Revenue Streams'!AJ$4))</f>
        <v>3225.3993104258921</v>
      </c>
      <c r="AS74" s="114"/>
      <c r="AT74" s="114"/>
      <c r="AU74" s="114"/>
      <c r="AV74" s="114"/>
      <c r="AW74" s="114"/>
      <c r="AX74" s="114"/>
      <c r="AY74" s="124"/>
      <c r="AZ74" s="124"/>
    </row>
    <row r="75" spans="2:52" x14ac:dyDescent="0.3">
      <c r="B75" t="s">
        <v>199</v>
      </c>
      <c r="E75">
        <v>87</v>
      </c>
      <c r="T75" s="165"/>
      <c r="Z75" s="10"/>
      <c r="AA75" s="170">
        <v>2400</v>
      </c>
      <c r="AB75" s="171">
        <f>$AA75*((1+'Dashboard Control'!$D$32)^('Revenue Streams'!AA$4))</f>
        <v>2472</v>
      </c>
      <c r="AC75" s="171">
        <f>$AA75*((1+'Dashboard Control'!$D$32)^('Revenue Streams'!AB$4))</f>
        <v>2546.16</v>
      </c>
      <c r="AD75" s="171">
        <f>$AA75*((1+'Dashboard Control'!$D$32)^('Revenue Streams'!AC$4))</f>
        <v>2622.5448000000001</v>
      </c>
      <c r="AE75" s="171">
        <f>$AA75*((1+'Dashboard Control'!$D$32)^('Revenue Streams'!AD$4))</f>
        <v>2701.2211439999996</v>
      </c>
      <c r="AF75" s="171">
        <f>$AA75*((1+'Dashboard Control'!$D$32)^('Revenue Streams'!AE$4))</f>
        <v>2782.2577783199995</v>
      </c>
      <c r="AG75" s="171">
        <f>$AA75*((1+'Dashboard Control'!$D$32)^('Revenue Streams'!AF$4))</f>
        <v>2865.7255116695997</v>
      </c>
      <c r="AH75" s="171">
        <f>$AA75*((1+'Dashboard Control'!$D$32)^('Revenue Streams'!AG$4))</f>
        <v>2951.697277019688</v>
      </c>
      <c r="AI75" s="171">
        <f>$AA75*((1+'Dashboard Control'!$D$32)^('Revenue Streams'!AH$4))</f>
        <v>3040.2481953302781</v>
      </c>
      <c r="AJ75" s="171">
        <f>$AA75*((1+'Dashboard Control'!$D$32)^('Revenue Streams'!AI$4))</f>
        <v>3131.4556411901867</v>
      </c>
      <c r="AK75" s="171">
        <f>$AA75*((1+'Dashboard Control'!$D$32)^('Revenue Streams'!AJ$4))</f>
        <v>3225.3993104258921</v>
      </c>
    </row>
    <row r="76" spans="2:52" x14ac:dyDescent="0.3">
      <c r="B76" t="s">
        <v>199</v>
      </c>
      <c r="E76">
        <v>88</v>
      </c>
      <c r="T76" s="165"/>
      <c r="Z76" s="10"/>
      <c r="AA76" s="170">
        <v>2400</v>
      </c>
      <c r="AB76" s="171">
        <f>$AA76*((1+'Dashboard Control'!$D$32)^('Revenue Streams'!AA$4))</f>
        <v>2472</v>
      </c>
      <c r="AC76" s="171">
        <f>$AA76*((1+'Dashboard Control'!$D$32)^('Revenue Streams'!AB$4))</f>
        <v>2546.16</v>
      </c>
      <c r="AD76" s="171">
        <f>$AA76*((1+'Dashboard Control'!$D$32)^('Revenue Streams'!AC$4))</f>
        <v>2622.5448000000001</v>
      </c>
      <c r="AE76" s="171">
        <f>$AA76*((1+'Dashboard Control'!$D$32)^('Revenue Streams'!AD$4))</f>
        <v>2701.2211439999996</v>
      </c>
      <c r="AF76" s="171">
        <f>$AA76*((1+'Dashboard Control'!$D$32)^('Revenue Streams'!AE$4))</f>
        <v>2782.2577783199995</v>
      </c>
      <c r="AG76" s="171">
        <f>$AA76*((1+'Dashboard Control'!$D$32)^('Revenue Streams'!AF$4))</f>
        <v>2865.7255116695997</v>
      </c>
      <c r="AH76" s="171">
        <f>$AA76*((1+'Dashboard Control'!$D$32)^('Revenue Streams'!AG$4))</f>
        <v>2951.697277019688</v>
      </c>
      <c r="AI76" s="171">
        <f>$AA76*((1+'Dashboard Control'!$D$32)^('Revenue Streams'!AH$4))</f>
        <v>3040.2481953302781</v>
      </c>
      <c r="AJ76" s="171">
        <f>$AA76*((1+'Dashboard Control'!$D$32)^('Revenue Streams'!AI$4))</f>
        <v>3131.4556411901867</v>
      </c>
      <c r="AK76" s="171">
        <f>$AA76*((1+'Dashboard Control'!$D$32)^('Revenue Streams'!AJ$4))</f>
        <v>3225.3993104258921</v>
      </c>
    </row>
    <row r="77" spans="2:52" x14ac:dyDescent="0.3">
      <c r="B77" t="s">
        <v>199</v>
      </c>
      <c r="E77">
        <v>89</v>
      </c>
      <c r="T77" s="165"/>
      <c r="Z77" s="10"/>
      <c r="AA77" s="170">
        <v>2400</v>
      </c>
      <c r="AB77" s="171">
        <f>$AA77*((1+'Dashboard Control'!$D$32)^('Revenue Streams'!AA$4))</f>
        <v>2472</v>
      </c>
      <c r="AC77" s="171">
        <f>$AA77*((1+'Dashboard Control'!$D$32)^('Revenue Streams'!AB$4))</f>
        <v>2546.16</v>
      </c>
      <c r="AD77" s="171">
        <f>$AA77*((1+'Dashboard Control'!$D$32)^('Revenue Streams'!AC$4))</f>
        <v>2622.5448000000001</v>
      </c>
      <c r="AE77" s="171">
        <f>$AA77*((1+'Dashboard Control'!$D$32)^('Revenue Streams'!AD$4))</f>
        <v>2701.2211439999996</v>
      </c>
      <c r="AF77" s="171">
        <f>$AA77*((1+'Dashboard Control'!$D$32)^('Revenue Streams'!AE$4))</f>
        <v>2782.2577783199995</v>
      </c>
      <c r="AG77" s="171">
        <f>$AA77*((1+'Dashboard Control'!$D$32)^('Revenue Streams'!AF$4))</f>
        <v>2865.7255116695997</v>
      </c>
      <c r="AH77" s="171">
        <f>$AA77*((1+'Dashboard Control'!$D$32)^('Revenue Streams'!AG$4))</f>
        <v>2951.697277019688</v>
      </c>
      <c r="AI77" s="171">
        <f>$AA77*((1+'Dashboard Control'!$D$32)^('Revenue Streams'!AH$4))</f>
        <v>3040.2481953302781</v>
      </c>
      <c r="AJ77" s="171">
        <f>$AA77*((1+'Dashboard Control'!$D$32)^('Revenue Streams'!AI$4))</f>
        <v>3131.4556411901867</v>
      </c>
      <c r="AK77" s="171">
        <f>$AA77*((1+'Dashboard Control'!$D$32)^('Revenue Streams'!AJ$4))</f>
        <v>3225.3993104258921</v>
      </c>
    </row>
    <row r="78" spans="2:52" x14ac:dyDescent="0.3">
      <c r="B78" t="s">
        <v>199</v>
      </c>
      <c r="E78">
        <v>90</v>
      </c>
      <c r="T78" s="165"/>
      <c r="Z78" s="10"/>
      <c r="AA78" s="170">
        <v>2400</v>
      </c>
      <c r="AB78" s="171">
        <f>$AA78*((1+'Dashboard Control'!$D$32)^('Revenue Streams'!AA$4))</f>
        <v>2472</v>
      </c>
      <c r="AC78" s="171">
        <f>$AA78*((1+'Dashboard Control'!$D$32)^('Revenue Streams'!AB$4))</f>
        <v>2546.16</v>
      </c>
      <c r="AD78" s="171">
        <f>$AA78*((1+'Dashboard Control'!$D$32)^('Revenue Streams'!AC$4))</f>
        <v>2622.5448000000001</v>
      </c>
      <c r="AE78" s="171">
        <f>$AA78*((1+'Dashboard Control'!$D$32)^('Revenue Streams'!AD$4))</f>
        <v>2701.2211439999996</v>
      </c>
      <c r="AF78" s="171">
        <f>$AA78*((1+'Dashboard Control'!$D$32)^('Revenue Streams'!AE$4))</f>
        <v>2782.2577783199995</v>
      </c>
      <c r="AG78" s="171">
        <f>$AA78*((1+'Dashboard Control'!$D$32)^('Revenue Streams'!AF$4))</f>
        <v>2865.7255116695997</v>
      </c>
      <c r="AH78" s="171">
        <f>$AA78*((1+'Dashboard Control'!$D$32)^('Revenue Streams'!AG$4))</f>
        <v>2951.697277019688</v>
      </c>
      <c r="AI78" s="171">
        <f>$AA78*((1+'Dashboard Control'!$D$32)^('Revenue Streams'!AH$4))</f>
        <v>3040.2481953302781</v>
      </c>
      <c r="AJ78" s="171">
        <f>$AA78*((1+'Dashboard Control'!$D$32)^('Revenue Streams'!AI$4))</f>
        <v>3131.4556411901867</v>
      </c>
      <c r="AK78" s="171">
        <f>$AA78*((1+'Dashboard Control'!$D$32)^('Revenue Streams'!AJ$4))</f>
        <v>3225.3993104258921</v>
      </c>
    </row>
    <row r="79" spans="2:52" x14ac:dyDescent="0.3">
      <c r="B79" t="s">
        <v>199</v>
      </c>
      <c r="E79">
        <v>91</v>
      </c>
      <c r="T79" s="165"/>
      <c r="Z79" s="10"/>
      <c r="AA79" s="170">
        <v>2400</v>
      </c>
      <c r="AB79" s="171">
        <f>$AA79*((1+'Dashboard Control'!$D$32)^('Revenue Streams'!AA$4))</f>
        <v>2472</v>
      </c>
      <c r="AC79" s="171">
        <f>$AA79*((1+'Dashboard Control'!$D$32)^('Revenue Streams'!AB$4))</f>
        <v>2546.16</v>
      </c>
      <c r="AD79" s="171">
        <f>$AA79*((1+'Dashboard Control'!$D$32)^('Revenue Streams'!AC$4))</f>
        <v>2622.5448000000001</v>
      </c>
      <c r="AE79" s="171">
        <f>$AA79*((1+'Dashboard Control'!$D$32)^('Revenue Streams'!AD$4))</f>
        <v>2701.2211439999996</v>
      </c>
      <c r="AF79" s="171">
        <f>$AA79*((1+'Dashboard Control'!$D$32)^('Revenue Streams'!AE$4))</f>
        <v>2782.2577783199995</v>
      </c>
      <c r="AG79" s="171">
        <f>$AA79*((1+'Dashboard Control'!$D$32)^('Revenue Streams'!AF$4))</f>
        <v>2865.7255116695997</v>
      </c>
      <c r="AH79" s="171">
        <f>$AA79*((1+'Dashboard Control'!$D$32)^('Revenue Streams'!AG$4))</f>
        <v>2951.697277019688</v>
      </c>
      <c r="AI79" s="171">
        <f>$AA79*((1+'Dashboard Control'!$D$32)^('Revenue Streams'!AH$4))</f>
        <v>3040.2481953302781</v>
      </c>
      <c r="AJ79" s="171">
        <f>$AA79*((1+'Dashboard Control'!$D$32)^('Revenue Streams'!AI$4))</f>
        <v>3131.4556411901867</v>
      </c>
      <c r="AK79" s="171">
        <f>$AA79*((1+'Dashboard Control'!$D$32)^('Revenue Streams'!AJ$4))</f>
        <v>3225.3993104258921</v>
      </c>
    </row>
    <row r="80" spans="2:52" x14ac:dyDescent="0.3">
      <c r="B80" t="s">
        <v>199</v>
      </c>
      <c r="E80">
        <v>92</v>
      </c>
      <c r="T80" s="165"/>
      <c r="Z80" s="10"/>
      <c r="AA80" s="170">
        <v>2400</v>
      </c>
      <c r="AB80" s="171">
        <f>$AA80*((1+'Dashboard Control'!$D$32)^('Revenue Streams'!AA$4))</f>
        <v>2472</v>
      </c>
      <c r="AC80" s="171">
        <f>$AA80*((1+'Dashboard Control'!$D$32)^('Revenue Streams'!AB$4))</f>
        <v>2546.16</v>
      </c>
      <c r="AD80" s="171">
        <f>$AA80*((1+'Dashboard Control'!$D$32)^('Revenue Streams'!AC$4))</f>
        <v>2622.5448000000001</v>
      </c>
      <c r="AE80" s="171">
        <f>$AA80*((1+'Dashboard Control'!$D$32)^('Revenue Streams'!AD$4))</f>
        <v>2701.2211439999996</v>
      </c>
      <c r="AF80" s="171">
        <f>$AA80*((1+'Dashboard Control'!$D$32)^('Revenue Streams'!AE$4))</f>
        <v>2782.2577783199995</v>
      </c>
      <c r="AG80" s="171">
        <f>$AA80*((1+'Dashboard Control'!$D$32)^('Revenue Streams'!AF$4))</f>
        <v>2865.7255116695997</v>
      </c>
      <c r="AH80" s="171">
        <f>$AA80*((1+'Dashboard Control'!$D$32)^('Revenue Streams'!AG$4))</f>
        <v>2951.697277019688</v>
      </c>
      <c r="AI80" s="171">
        <f>$AA80*((1+'Dashboard Control'!$D$32)^('Revenue Streams'!AH$4))</f>
        <v>3040.2481953302781</v>
      </c>
      <c r="AJ80" s="171">
        <f>$AA80*((1+'Dashboard Control'!$D$32)^('Revenue Streams'!AI$4))</f>
        <v>3131.4556411901867</v>
      </c>
      <c r="AK80" s="171">
        <f>$AA80*((1+'Dashboard Control'!$D$32)^('Revenue Streams'!AJ$4))</f>
        <v>3225.3993104258921</v>
      </c>
    </row>
    <row r="81" spans="1:37" x14ac:dyDescent="0.3">
      <c r="B81" t="s">
        <v>199</v>
      </c>
      <c r="E81">
        <v>93</v>
      </c>
      <c r="T81" s="165"/>
      <c r="Z81" s="10"/>
      <c r="AA81" s="170">
        <v>2400</v>
      </c>
      <c r="AB81" s="171">
        <f>$AA81*((1+'Dashboard Control'!$D$32)^('Revenue Streams'!AA$4))</f>
        <v>2472</v>
      </c>
      <c r="AC81" s="171">
        <f>$AA81*((1+'Dashboard Control'!$D$32)^('Revenue Streams'!AB$4))</f>
        <v>2546.16</v>
      </c>
      <c r="AD81" s="171">
        <f>$AA81*((1+'Dashboard Control'!$D$32)^('Revenue Streams'!AC$4))</f>
        <v>2622.5448000000001</v>
      </c>
      <c r="AE81" s="171">
        <f>$AA81*((1+'Dashboard Control'!$D$32)^('Revenue Streams'!AD$4))</f>
        <v>2701.2211439999996</v>
      </c>
      <c r="AF81" s="171">
        <f>$AA81*((1+'Dashboard Control'!$D$32)^('Revenue Streams'!AE$4))</f>
        <v>2782.2577783199995</v>
      </c>
      <c r="AG81" s="171">
        <f>$AA81*((1+'Dashboard Control'!$D$32)^('Revenue Streams'!AF$4))</f>
        <v>2865.7255116695997</v>
      </c>
      <c r="AH81" s="171">
        <f>$AA81*((1+'Dashboard Control'!$D$32)^('Revenue Streams'!AG$4))</f>
        <v>2951.697277019688</v>
      </c>
      <c r="AI81" s="171">
        <f>$AA81*((1+'Dashboard Control'!$D$32)^('Revenue Streams'!AH$4))</f>
        <v>3040.2481953302781</v>
      </c>
      <c r="AJ81" s="171">
        <f>$AA81*((1+'Dashboard Control'!$D$32)^('Revenue Streams'!AI$4))</f>
        <v>3131.4556411901867</v>
      </c>
      <c r="AK81" s="171">
        <f>$AA81*((1+'Dashboard Control'!$D$32)^('Revenue Streams'!AJ$4))</f>
        <v>3225.3993104258921</v>
      </c>
    </row>
    <row r="82" spans="1:37" x14ac:dyDescent="0.3">
      <c r="B82" t="s">
        <v>199</v>
      </c>
      <c r="E82">
        <v>94</v>
      </c>
      <c r="T82" s="165"/>
      <c r="Z82" s="10"/>
      <c r="AA82" s="170">
        <v>2400</v>
      </c>
      <c r="AB82" s="171">
        <f>$AA82*((1+'Dashboard Control'!$D$32)^('Revenue Streams'!AA$4))</f>
        <v>2472</v>
      </c>
      <c r="AC82" s="171">
        <f>$AA82*((1+'Dashboard Control'!$D$32)^('Revenue Streams'!AB$4))</f>
        <v>2546.16</v>
      </c>
      <c r="AD82" s="171">
        <f>$AA82*((1+'Dashboard Control'!$D$32)^('Revenue Streams'!AC$4))</f>
        <v>2622.5448000000001</v>
      </c>
      <c r="AE82" s="171">
        <f>$AA82*((1+'Dashboard Control'!$D$32)^('Revenue Streams'!AD$4))</f>
        <v>2701.2211439999996</v>
      </c>
      <c r="AF82" s="171">
        <f>$AA82*((1+'Dashboard Control'!$D$32)^('Revenue Streams'!AE$4))</f>
        <v>2782.2577783199995</v>
      </c>
      <c r="AG82" s="171">
        <f>$AA82*((1+'Dashboard Control'!$D$32)^('Revenue Streams'!AF$4))</f>
        <v>2865.7255116695997</v>
      </c>
      <c r="AH82" s="171">
        <f>$AA82*((1+'Dashboard Control'!$D$32)^('Revenue Streams'!AG$4))</f>
        <v>2951.697277019688</v>
      </c>
      <c r="AI82" s="171">
        <f>$AA82*((1+'Dashboard Control'!$D$32)^('Revenue Streams'!AH$4))</f>
        <v>3040.2481953302781</v>
      </c>
      <c r="AJ82" s="171">
        <f>$AA82*((1+'Dashboard Control'!$D$32)^('Revenue Streams'!AI$4))</f>
        <v>3131.4556411901867</v>
      </c>
      <c r="AK82" s="171">
        <f>$AA82*((1+'Dashboard Control'!$D$32)^('Revenue Streams'!AJ$4))</f>
        <v>3225.3993104258921</v>
      </c>
    </row>
    <row r="83" spans="1:37" x14ac:dyDescent="0.3">
      <c r="B83" t="s">
        <v>199</v>
      </c>
      <c r="E83">
        <v>95</v>
      </c>
      <c r="T83" s="165"/>
      <c r="Z83" s="10"/>
      <c r="AA83" s="170">
        <v>2400</v>
      </c>
      <c r="AB83" s="171">
        <f>$AA83*((1+'Dashboard Control'!$D$32)^('Revenue Streams'!AA$4))</f>
        <v>2472</v>
      </c>
      <c r="AC83" s="171">
        <f>$AA83*((1+'Dashboard Control'!$D$32)^('Revenue Streams'!AB$4))</f>
        <v>2546.16</v>
      </c>
      <c r="AD83" s="171">
        <f>$AA83*((1+'Dashboard Control'!$D$32)^('Revenue Streams'!AC$4))</f>
        <v>2622.5448000000001</v>
      </c>
      <c r="AE83" s="171">
        <f>$AA83*((1+'Dashboard Control'!$D$32)^('Revenue Streams'!AD$4))</f>
        <v>2701.2211439999996</v>
      </c>
      <c r="AF83" s="171">
        <f>$AA83*((1+'Dashboard Control'!$D$32)^('Revenue Streams'!AE$4))</f>
        <v>2782.2577783199995</v>
      </c>
      <c r="AG83" s="171">
        <f>$AA83*((1+'Dashboard Control'!$D$32)^('Revenue Streams'!AF$4))</f>
        <v>2865.7255116695997</v>
      </c>
      <c r="AH83" s="171">
        <f>$AA83*((1+'Dashboard Control'!$D$32)^('Revenue Streams'!AG$4))</f>
        <v>2951.697277019688</v>
      </c>
      <c r="AI83" s="171">
        <f>$AA83*((1+'Dashboard Control'!$D$32)^('Revenue Streams'!AH$4))</f>
        <v>3040.2481953302781</v>
      </c>
      <c r="AJ83" s="171">
        <f>$AA83*((1+'Dashboard Control'!$D$32)^('Revenue Streams'!AI$4))</f>
        <v>3131.4556411901867</v>
      </c>
      <c r="AK83" s="171">
        <f>$AA83*((1+'Dashboard Control'!$D$32)^('Revenue Streams'!AJ$4))</f>
        <v>3225.3993104258921</v>
      </c>
    </row>
    <row r="84" spans="1:37" x14ac:dyDescent="0.3">
      <c r="B84" t="s">
        <v>199</v>
      </c>
      <c r="E84" s="155" t="s">
        <v>200</v>
      </c>
      <c r="T84" s="166"/>
      <c r="Z84" s="10"/>
      <c r="AA84" s="170">
        <v>2400</v>
      </c>
      <c r="AB84" s="171">
        <f>$AA84*((1+'Dashboard Control'!$D$32)^('Revenue Streams'!AA$4))</f>
        <v>2472</v>
      </c>
      <c r="AC84" s="171">
        <f>$AA84*((1+'Dashboard Control'!$D$32)^('Revenue Streams'!AB$4))</f>
        <v>2546.16</v>
      </c>
      <c r="AD84" s="171">
        <f>$AA84*((1+'Dashboard Control'!$D$32)^('Revenue Streams'!AC$4))</f>
        <v>2622.5448000000001</v>
      </c>
      <c r="AE84" s="171">
        <f>$AA84*((1+'Dashboard Control'!$D$32)^('Revenue Streams'!AD$4))</f>
        <v>2701.2211439999996</v>
      </c>
      <c r="AF84" s="171">
        <f>$AA84*((1+'Dashboard Control'!$D$32)^('Revenue Streams'!AE$4))</f>
        <v>2782.2577783199995</v>
      </c>
      <c r="AG84" s="171">
        <f>$AA84*((1+'Dashboard Control'!$D$32)^('Revenue Streams'!AF$4))</f>
        <v>2865.7255116695997</v>
      </c>
      <c r="AH84" s="171">
        <f>$AA84*((1+'Dashboard Control'!$D$32)^('Revenue Streams'!AG$4))</f>
        <v>2951.697277019688</v>
      </c>
      <c r="AI84" s="171">
        <f>$AA84*((1+'Dashboard Control'!$D$32)^('Revenue Streams'!AH$4))</f>
        <v>3040.2481953302781</v>
      </c>
      <c r="AJ84" s="171">
        <f>$AA84*((1+'Dashboard Control'!$D$32)^('Revenue Streams'!AI$4))</f>
        <v>3131.4556411901867</v>
      </c>
      <c r="AK84" s="171">
        <f>$AA84*((1+'Dashboard Control'!$D$32)^('Revenue Streams'!AJ$4))</f>
        <v>3225.3993104258921</v>
      </c>
    </row>
    <row r="85" spans="1:37" x14ac:dyDescent="0.3">
      <c r="B85" t="s">
        <v>199</v>
      </c>
      <c r="E85" s="155" t="s">
        <v>201</v>
      </c>
      <c r="T85" s="166"/>
      <c r="Z85" s="10"/>
      <c r="AA85" s="170">
        <v>2400</v>
      </c>
      <c r="AB85" s="171">
        <f>$AA85*((1+'Dashboard Control'!$D$32)^('Revenue Streams'!AA$4))</f>
        <v>2472</v>
      </c>
      <c r="AC85" s="171">
        <f>$AA85*((1+'Dashboard Control'!$D$32)^('Revenue Streams'!AB$4))</f>
        <v>2546.16</v>
      </c>
      <c r="AD85" s="171">
        <f>$AA85*((1+'Dashboard Control'!$D$32)^('Revenue Streams'!AC$4))</f>
        <v>2622.5448000000001</v>
      </c>
      <c r="AE85" s="171">
        <f>$AA85*((1+'Dashboard Control'!$D$32)^('Revenue Streams'!AD$4))</f>
        <v>2701.2211439999996</v>
      </c>
      <c r="AF85" s="171">
        <f>$AA85*((1+'Dashboard Control'!$D$32)^('Revenue Streams'!AE$4))</f>
        <v>2782.2577783199995</v>
      </c>
      <c r="AG85" s="171">
        <f>$AA85*((1+'Dashboard Control'!$D$32)^('Revenue Streams'!AF$4))</f>
        <v>2865.7255116695997</v>
      </c>
      <c r="AH85" s="171">
        <f>$AA85*((1+'Dashboard Control'!$D$32)^('Revenue Streams'!AG$4))</f>
        <v>2951.697277019688</v>
      </c>
      <c r="AI85" s="171">
        <f>$AA85*((1+'Dashboard Control'!$D$32)^('Revenue Streams'!AH$4))</f>
        <v>3040.2481953302781</v>
      </c>
      <c r="AJ85" s="171">
        <f>$AA85*((1+'Dashboard Control'!$D$32)^('Revenue Streams'!AI$4))</f>
        <v>3131.4556411901867</v>
      </c>
      <c r="AK85" s="171">
        <f>$AA85*((1+'Dashboard Control'!$D$32)^('Revenue Streams'!AJ$4))</f>
        <v>3225.3993104258921</v>
      </c>
    </row>
    <row r="86" spans="1:37" ht="15" customHeight="1" x14ac:dyDescent="0.3">
      <c r="B86" t="s">
        <v>199</v>
      </c>
      <c r="E86">
        <v>136</v>
      </c>
      <c r="T86" s="166"/>
      <c r="Z86" s="10"/>
      <c r="AA86" s="170">
        <v>2400</v>
      </c>
      <c r="AB86" s="171">
        <f>$AA86*((1+'Dashboard Control'!$D$32)^('Revenue Streams'!AA$4))</f>
        <v>2472</v>
      </c>
      <c r="AC86" s="171">
        <f>$AA86*((1+'Dashboard Control'!$D$32)^('Revenue Streams'!AB$4))</f>
        <v>2546.16</v>
      </c>
      <c r="AD86" s="171">
        <f>$AA86*((1+'Dashboard Control'!$D$32)^('Revenue Streams'!AC$4))</f>
        <v>2622.5448000000001</v>
      </c>
      <c r="AE86" s="171">
        <f>$AA86*((1+'Dashboard Control'!$D$32)^('Revenue Streams'!AD$4))</f>
        <v>2701.2211439999996</v>
      </c>
      <c r="AF86" s="171">
        <f>$AA86*((1+'Dashboard Control'!$D$32)^('Revenue Streams'!AE$4))</f>
        <v>2782.2577783199995</v>
      </c>
      <c r="AG86" s="171">
        <f>$AA86*((1+'Dashboard Control'!$D$32)^('Revenue Streams'!AF$4))</f>
        <v>2865.7255116695997</v>
      </c>
      <c r="AH86" s="171">
        <f>$AA86*((1+'Dashboard Control'!$D$32)^('Revenue Streams'!AG$4))</f>
        <v>2951.697277019688</v>
      </c>
      <c r="AI86" s="171">
        <f>$AA86*((1+'Dashboard Control'!$D$32)^('Revenue Streams'!AH$4))</f>
        <v>3040.2481953302781</v>
      </c>
      <c r="AJ86" s="171">
        <f>$AA86*((1+'Dashboard Control'!$D$32)^('Revenue Streams'!AI$4))</f>
        <v>3131.4556411901867</v>
      </c>
      <c r="AK86" s="171">
        <f>$AA86*((1+'Dashboard Control'!$D$32)^('Revenue Streams'!AJ$4))</f>
        <v>3225.3993104258921</v>
      </c>
    </row>
    <row r="87" spans="1:37" x14ac:dyDescent="0.3">
      <c r="B87" t="s">
        <v>199</v>
      </c>
      <c r="E87">
        <v>137</v>
      </c>
      <c r="T87" s="166"/>
      <c r="Z87" s="10"/>
      <c r="AA87" s="170">
        <v>2400</v>
      </c>
      <c r="AB87" s="171">
        <f>$AA87*((1+'Dashboard Control'!$D$32)^('Revenue Streams'!AA$4))</f>
        <v>2472</v>
      </c>
      <c r="AC87" s="171">
        <f>$AA87*((1+'Dashboard Control'!$D$32)^('Revenue Streams'!AB$4))</f>
        <v>2546.16</v>
      </c>
      <c r="AD87" s="171">
        <f>$AA87*((1+'Dashboard Control'!$D$32)^('Revenue Streams'!AC$4))</f>
        <v>2622.5448000000001</v>
      </c>
      <c r="AE87" s="171">
        <f>$AA87*((1+'Dashboard Control'!$D$32)^('Revenue Streams'!AD$4))</f>
        <v>2701.2211439999996</v>
      </c>
      <c r="AF87" s="171">
        <f>$AA87*((1+'Dashboard Control'!$D$32)^('Revenue Streams'!AE$4))</f>
        <v>2782.2577783199995</v>
      </c>
      <c r="AG87" s="171">
        <f>$AA87*((1+'Dashboard Control'!$D$32)^('Revenue Streams'!AF$4))</f>
        <v>2865.7255116695997</v>
      </c>
      <c r="AH87" s="171">
        <f>$AA87*((1+'Dashboard Control'!$D$32)^('Revenue Streams'!AG$4))</f>
        <v>2951.697277019688</v>
      </c>
      <c r="AI87" s="171">
        <f>$AA87*((1+'Dashboard Control'!$D$32)^('Revenue Streams'!AH$4))</f>
        <v>3040.2481953302781</v>
      </c>
      <c r="AJ87" s="171">
        <f>$AA87*((1+'Dashboard Control'!$D$32)^('Revenue Streams'!AI$4))</f>
        <v>3131.4556411901867</v>
      </c>
      <c r="AK87" s="171">
        <f>$AA87*((1+'Dashboard Control'!$D$32)^('Revenue Streams'!AJ$4))</f>
        <v>3225.3993104258921</v>
      </c>
    </row>
    <row r="88" spans="1:37" x14ac:dyDescent="0.3">
      <c r="B88" t="s">
        <v>199</v>
      </c>
      <c r="E88">
        <v>138</v>
      </c>
      <c r="T88" s="166"/>
      <c r="Z88" s="10"/>
      <c r="AA88" s="170">
        <v>2400</v>
      </c>
      <c r="AB88" s="171">
        <f>$AA88*((1+'Dashboard Control'!$D$32)^('Revenue Streams'!AA$4))</f>
        <v>2472</v>
      </c>
      <c r="AC88" s="171">
        <f>$AA88*((1+'Dashboard Control'!$D$32)^('Revenue Streams'!AB$4))</f>
        <v>2546.16</v>
      </c>
      <c r="AD88" s="171">
        <f>$AA88*((1+'Dashboard Control'!$D$32)^('Revenue Streams'!AC$4))</f>
        <v>2622.5448000000001</v>
      </c>
      <c r="AE88" s="171">
        <f>$AA88*((1+'Dashboard Control'!$D$32)^('Revenue Streams'!AD$4))</f>
        <v>2701.2211439999996</v>
      </c>
      <c r="AF88" s="171">
        <f>$AA88*((1+'Dashboard Control'!$D$32)^('Revenue Streams'!AE$4))</f>
        <v>2782.2577783199995</v>
      </c>
      <c r="AG88" s="171">
        <f>$AA88*((1+'Dashboard Control'!$D$32)^('Revenue Streams'!AF$4))</f>
        <v>2865.7255116695997</v>
      </c>
      <c r="AH88" s="171">
        <f>$AA88*((1+'Dashboard Control'!$D$32)^('Revenue Streams'!AG$4))</f>
        <v>2951.697277019688</v>
      </c>
      <c r="AI88" s="171">
        <f>$AA88*((1+'Dashboard Control'!$D$32)^('Revenue Streams'!AH$4))</f>
        <v>3040.2481953302781</v>
      </c>
      <c r="AJ88" s="171">
        <f>$AA88*((1+'Dashboard Control'!$D$32)^('Revenue Streams'!AI$4))</f>
        <v>3131.4556411901867</v>
      </c>
      <c r="AK88" s="171">
        <f>$AA88*((1+'Dashboard Control'!$D$32)^('Revenue Streams'!AJ$4))</f>
        <v>3225.3993104258921</v>
      </c>
    </row>
    <row r="89" spans="1:37" x14ac:dyDescent="0.3">
      <c r="B89" t="s">
        <v>199</v>
      </c>
      <c r="E89">
        <v>139</v>
      </c>
      <c r="T89" s="166"/>
      <c r="Z89" s="10"/>
      <c r="AA89" s="170">
        <v>2400</v>
      </c>
      <c r="AB89" s="171">
        <f>$AA89*((1+'Dashboard Control'!$D$32)^('Revenue Streams'!AA$4))</f>
        <v>2472</v>
      </c>
      <c r="AC89" s="171">
        <f>$AA89*((1+'Dashboard Control'!$D$32)^('Revenue Streams'!AB$4))</f>
        <v>2546.16</v>
      </c>
      <c r="AD89" s="171">
        <f>$AA89*((1+'Dashboard Control'!$D$32)^('Revenue Streams'!AC$4))</f>
        <v>2622.5448000000001</v>
      </c>
      <c r="AE89" s="171">
        <f>$AA89*((1+'Dashboard Control'!$D$32)^('Revenue Streams'!AD$4))</f>
        <v>2701.2211439999996</v>
      </c>
      <c r="AF89" s="171">
        <f>$AA89*((1+'Dashboard Control'!$D$32)^('Revenue Streams'!AE$4))</f>
        <v>2782.2577783199995</v>
      </c>
      <c r="AG89" s="171">
        <f>$AA89*((1+'Dashboard Control'!$D$32)^('Revenue Streams'!AF$4))</f>
        <v>2865.7255116695997</v>
      </c>
      <c r="AH89" s="171">
        <f>$AA89*((1+'Dashboard Control'!$D$32)^('Revenue Streams'!AG$4))</f>
        <v>2951.697277019688</v>
      </c>
      <c r="AI89" s="171">
        <f>$AA89*((1+'Dashboard Control'!$D$32)^('Revenue Streams'!AH$4))</f>
        <v>3040.2481953302781</v>
      </c>
      <c r="AJ89" s="171">
        <f>$AA89*((1+'Dashboard Control'!$D$32)^('Revenue Streams'!AI$4))</f>
        <v>3131.4556411901867</v>
      </c>
      <c r="AK89" s="171">
        <f>$AA89*((1+'Dashboard Control'!$D$32)^('Revenue Streams'!AJ$4))</f>
        <v>3225.3993104258921</v>
      </c>
    </row>
    <row r="90" spans="1:37" x14ac:dyDescent="0.3">
      <c r="B90" t="s">
        <v>199</v>
      </c>
      <c r="E90">
        <v>140</v>
      </c>
      <c r="T90" s="166"/>
      <c r="Z90" s="10"/>
      <c r="AA90" s="170">
        <v>2400</v>
      </c>
      <c r="AB90" s="171">
        <f>$AA90*((1+'Dashboard Control'!$D$32)^('Revenue Streams'!AA$4))</f>
        <v>2472</v>
      </c>
      <c r="AC90" s="171">
        <f>$AA90*((1+'Dashboard Control'!$D$32)^('Revenue Streams'!AB$4))</f>
        <v>2546.16</v>
      </c>
      <c r="AD90" s="171">
        <f>$AA90*((1+'Dashboard Control'!$D$32)^('Revenue Streams'!AC$4))</f>
        <v>2622.5448000000001</v>
      </c>
      <c r="AE90" s="171">
        <f>$AA90*((1+'Dashboard Control'!$D$32)^('Revenue Streams'!AD$4))</f>
        <v>2701.2211439999996</v>
      </c>
      <c r="AF90" s="171">
        <f>$AA90*((1+'Dashboard Control'!$D$32)^('Revenue Streams'!AE$4))</f>
        <v>2782.2577783199995</v>
      </c>
      <c r="AG90" s="171">
        <f>$AA90*((1+'Dashboard Control'!$D$32)^('Revenue Streams'!AF$4))</f>
        <v>2865.7255116695997</v>
      </c>
      <c r="AH90" s="171">
        <f>$AA90*((1+'Dashboard Control'!$D$32)^('Revenue Streams'!AG$4))</f>
        <v>2951.697277019688</v>
      </c>
      <c r="AI90" s="171">
        <f>$AA90*((1+'Dashboard Control'!$D$32)^('Revenue Streams'!AH$4))</f>
        <v>3040.2481953302781</v>
      </c>
      <c r="AJ90" s="171">
        <f>$AA90*((1+'Dashboard Control'!$D$32)^('Revenue Streams'!AI$4))</f>
        <v>3131.4556411901867</v>
      </c>
      <c r="AK90" s="171">
        <f>$AA90*((1+'Dashboard Control'!$D$32)^('Revenue Streams'!AJ$4))</f>
        <v>3225.3993104258921</v>
      </c>
    </row>
    <row r="91" spans="1:37" x14ac:dyDescent="0.3">
      <c r="B91" t="s">
        <v>199</v>
      </c>
      <c r="E91">
        <v>141</v>
      </c>
      <c r="T91" s="166"/>
      <c r="Z91" s="10"/>
      <c r="AA91" s="170">
        <v>2400</v>
      </c>
      <c r="AB91" s="171">
        <f>$AA91*((1+'Dashboard Control'!$D$32)^('Revenue Streams'!AA$4))</f>
        <v>2472</v>
      </c>
      <c r="AC91" s="171">
        <f>$AA91*((1+'Dashboard Control'!$D$32)^('Revenue Streams'!AB$4))</f>
        <v>2546.16</v>
      </c>
      <c r="AD91" s="171">
        <f>$AA91*((1+'Dashboard Control'!$D$32)^('Revenue Streams'!AC$4))</f>
        <v>2622.5448000000001</v>
      </c>
      <c r="AE91" s="171">
        <f>$AA91*((1+'Dashboard Control'!$D$32)^('Revenue Streams'!AD$4))</f>
        <v>2701.2211439999996</v>
      </c>
      <c r="AF91" s="171">
        <f>$AA91*((1+'Dashboard Control'!$D$32)^('Revenue Streams'!AE$4))</f>
        <v>2782.2577783199995</v>
      </c>
      <c r="AG91" s="171">
        <f>$AA91*((1+'Dashboard Control'!$D$32)^('Revenue Streams'!AF$4))</f>
        <v>2865.7255116695997</v>
      </c>
      <c r="AH91" s="171">
        <f>$AA91*((1+'Dashboard Control'!$D$32)^('Revenue Streams'!AG$4))</f>
        <v>2951.697277019688</v>
      </c>
      <c r="AI91" s="171">
        <f>$AA91*((1+'Dashboard Control'!$D$32)^('Revenue Streams'!AH$4))</f>
        <v>3040.2481953302781</v>
      </c>
      <c r="AJ91" s="171">
        <f>$AA91*((1+'Dashboard Control'!$D$32)^('Revenue Streams'!AI$4))</f>
        <v>3131.4556411901867</v>
      </c>
      <c r="AK91" s="171">
        <f>$AA91*((1+'Dashboard Control'!$D$32)^('Revenue Streams'!AJ$4))</f>
        <v>3225.3993104258921</v>
      </c>
    </row>
    <row r="92" spans="1:37" x14ac:dyDescent="0.3">
      <c r="B92" t="s">
        <v>199</v>
      </c>
      <c r="E92">
        <v>142</v>
      </c>
      <c r="T92" s="166"/>
      <c r="Z92" s="10"/>
      <c r="AA92" s="170">
        <v>2400</v>
      </c>
      <c r="AB92" s="171">
        <f>$AA92*((1+'Dashboard Control'!$D$32)^('Revenue Streams'!AA$4))</f>
        <v>2472</v>
      </c>
      <c r="AC92" s="171">
        <f>$AA92*((1+'Dashboard Control'!$D$32)^('Revenue Streams'!AB$4))</f>
        <v>2546.16</v>
      </c>
      <c r="AD92" s="171">
        <f>$AA92*((1+'Dashboard Control'!$D$32)^('Revenue Streams'!AC$4))</f>
        <v>2622.5448000000001</v>
      </c>
      <c r="AE92" s="171">
        <f>$AA92*((1+'Dashboard Control'!$D$32)^('Revenue Streams'!AD$4))</f>
        <v>2701.2211439999996</v>
      </c>
      <c r="AF92" s="171">
        <f>$AA92*((1+'Dashboard Control'!$D$32)^('Revenue Streams'!AE$4))</f>
        <v>2782.2577783199995</v>
      </c>
      <c r="AG92" s="171">
        <f>$AA92*((1+'Dashboard Control'!$D$32)^('Revenue Streams'!AF$4))</f>
        <v>2865.7255116695997</v>
      </c>
      <c r="AH92" s="171">
        <f>$AA92*((1+'Dashboard Control'!$D$32)^('Revenue Streams'!AG$4))</f>
        <v>2951.697277019688</v>
      </c>
      <c r="AI92" s="171">
        <f>$AA92*((1+'Dashboard Control'!$D$32)^('Revenue Streams'!AH$4))</f>
        <v>3040.2481953302781</v>
      </c>
      <c r="AJ92" s="171">
        <f>$AA92*((1+'Dashboard Control'!$D$32)^('Revenue Streams'!AI$4))</f>
        <v>3131.4556411901867</v>
      </c>
      <c r="AK92" s="171">
        <f>$AA92*((1+'Dashboard Control'!$D$32)^('Revenue Streams'!AJ$4))</f>
        <v>3225.3993104258921</v>
      </c>
    </row>
    <row r="93" spans="1:37" x14ac:dyDescent="0.3">
      <c r="B93" t="s">
        <v>199</v>
      </c>
      <c r="E93">
        <v>143</v>
      </c>
      <c r="T93" s="166"/>
      <c r="Z93" s="10"/>
      <c r="AA93" s="170">
        <v>2400</v>
      </c>
      <c r="AB93" s="171">
        <f>$AA93*((1+'Dashboard Control'!$D$32)^('Revenue Streams'!AA$4))</f>
        <v>2472</v>
      </c>
      <c r="AC93" s="171">
        <f>$AA93*((1+'Dashboard Control'!$D$32)^('Revenue Streams'!AB$4))</f>
        <v>2546.16</v>
      </c>
      <c r="AD93" s="171">
        <f>$AA93*((1+'Dashboard Control'!$D$32)^('Revenue Streams'!AC$4))</f>
        <v>2622.5448000000001</v>
      </c>
      <c r="AE93" s="171">
        <f>$AA93*((1+'Dashboard Control'!$D$32)^('Revenue Streams'!AD$4))</f>
        <v>2701.2211439999996</v>
      </c>
      <c r="AF93" s="171">
        <f>$AA93*((1+'Dashboard Control'!$D$32)^('Revenue Streams'!AE$4))</f>
        <v>2782.2577783199995</v>
      </c>
      <c r="AG93" s="171">
        <f>$AA93*((1+'Dashboard Control'!$D$32)^('Revenue Streams'!AF$4))</f>
        <v>2865.7255116695997</v>
      </c>
      <c r="AH93" s="171">
        <f>$AA93*((1+'Dashboard Control'!$D$32)^('Revenue Streams'!AG$4))</f>
        <v>2951.697277019688</v>
      </c>
      <c r="AI93" s="171">
        <f>$AA93*((1+'Dashboard Control'!$D$32)^('Revenue Streams'!AH$4))</f>
        <v>3040.2481953302781</v>
      </c>
      <c r="AJ93" s="171">
        <f>$AA93*((1+'Dashboard Control'!$D$32)^('Revenue Streams'!AI$4))</f>
        <v>3131.4556411901867</v>
      </c>
      <c r="AK93" s="171">
        <f>$AA93*((1+'Dashboard Control'!$D$32)^('Revenue Streams'!AJ$4))</f>
        <v>3225.3993104258921</v>
      </c>
    </row>
    <row r="94" spans="1:37" s="2" customFormat="1" x14ac:dyDescent="0.3">
      <c r="A94" s="4"/>
      <c r="B94" s="2" t="s">
        <v>199</v>
      </c>
      <c r="E94" s="2">
        <v>144</v>
      </c>
      <c r="T94" s="180"/>
      <c r="Z94" s="11"/>
      <c r="AA94" s="170">
        <v>2400</v>
      </c>
      <c r="AB94" s="171">
        <f>$AA94*((1+'Dashboard Control'!$D$32)^('Revenue Streams'!AA$4))</f>
        <v>2472</v>
      </c>
      <c r="AC94" s="171">
        <f>$AA94*((1+'Dashboard Control'!$D$32)^('Revenue Streams'!AB$4))</f>
        <v>2546.16</v>
      </c>
      <c r="AD94" s="171">
        <f>$AA94*((1+'Dashboard Control'!$D$32)^('Revenue Streams'!AC$4))</f>
        <v>2622.5448000000001</v>
      </c>
      <c r="AE94" s="171">
        <f>$AA94*((1+'Dashboard Control'!$D$32)^('Revenue Streams'!AD$4))</f>
        <v>2701.2211439999996</v>
      </c>
      <c r="AF94" s="171">
        <f>$AA94*((1+'Dashboard Control'!$D$32)^('Revenue Streams'!AE$4))</f>
        <v>2782.2577783199995</v>
      </c>
      <c r="AG94" s="171">
        <f>$AA94*((1+'Dashboard Control'!$D$32)^('Revenue Streams'!AF$4))</f>
        <v>2865.7255116695997</v>
      </c>
      <c r="AH94" s="171">
        <f>$AA94*((1+'Dashboard Control'!$D$32)^('Revenue Streams'!AG$4))</f>
        <v>2951.697277019688</v>
      </c>
      <c r="AI94" s="171">
        <f>$AA94*((1+'Dashboard Control'!$D$32)^('Revenue Streams'!AH$4))</f>
        <v>3040.2481953302781</v>
      </c>
      <c r="AJ94" s="171">
        <f>$AA94*((1+'Dashboard Control'!$D$32)^('Revenue Streams'!AI$4))</f>
        <v>3131.4556411901867</v>
      </c>
      <c r="AK94" s="171">
        <f>$AA94*((1+'Dashboard Control'!$D$32)^('Revenue Streams'!AJ$4))</f>
        <v>3225.3993104258921</v>
      </c>
    </row>
    <row r="95" spans="1:37" s="46" customFormat="1" ht="15" customHeight="1" x14ac:dyDescent="0.3">
      <c r="A95" s="4"/>
      <c r="D95" s="46" t="s">
        <v>217</v>
      </c>
      <c r="M95" s="46">
        <f>COUNTIF(B7:B94, "S")</f>
        <v>88</v>
      </c>
      <c r="Z95" s="181"/>
      <c r="AA95" s="182">
        <f t="shared" ref="AA95:AK95" si="2">SUMIF($B$7:$B$94, "S", AA7:AA94)</f>
        <v>211200</v>
      </c>
      <c r="AB95" s="182">
        <f t="shared" si="2"/>
        <v>217536</v>
      </c>
      <c r="AC95" s="182">
        <f t="shared" si="2"/>
        <v>224062.08000000025</v>
      </c>
      <c r="AD95" s="182">
        <f t="shared" si="2"/>
        <v>230783.94240000023</v>
      </c>
      <c r="AE95" s="182">
        <f t="shared" si="2"/>
        <v>237707.46067200031</v>
      </c>
      <c r="AF95" s="182">
        <f t="shared" si="2"/>
        <v>244838.68449215969</v>
      </c>
      <c r="AG95" s="182">
        <f t="shared" si="2"/>
        <v>252183.84502692442</v>
      </c>
      <c r="AH95" s="182">
        <f t="shared" si="2"/>
        <v>259749.36037773191</v>
      </c>
      <c r="AI95" s="182">
        <f t="shared" si="2"/>
        <v>267541.84118906508</v>
      </c>
      <c r="AJ95" s="182">
        <f t="shared" si="2"/>
        <v>275568.09642473579</v>
      </c>
      <c r="AK95" s="182">
        <f t="shared" si="2"/>
        <v>283835.13931747846</v>
      </c>
    </row>
    <row r="96" spans="1:37" ht="15.75" customHeight="1" x14ac:dyDescent="0.3">
      <c r="A96" s="8"/>
      <c r="B96" s="8"/>
      <c r="D96" s="8" t="s">
        <v>209</v>
      </c>
      <c r="E96" s="8"/>
      <c r="F96" s="8"/>
      <c r="G96" s="8"/>
      <c r="H96" s="8"/>
      <c r="I96" s="8"/>
      <c r="J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60"/>
      <c r="AA96" s="172">
        <f>SUM(AA95)</f>
        <v>211200</v>
      </c>
      <c r="AB96" s="172">
        <f t="shared" ref="AB96:AK96" si="3">SUM(AB95)</f>
        <v>217536</v>
      </c>
      <c r="AC96" s="172">
        <f t="shared" si="3"/>
        <v>224062.08000000025</v>
      </c>
      <c r="AD96" s="172">
        <f t="shared" si="3"/>
        <v>230783.94240000023</v>
      </c>
      <c r="AE96" s="172">
        <f t="shared" si="3"/>
        <v>237707.46067200031</v>
      </c>
      <c r="AF96" s="172">
        <f t="shared" si="3"/>
        <v>244838.68449215969</v>
      </c>
      <c r="AG96" s="172">
        <f t="shared" si="3"/>
        <v>252183.84502692442</v>
      </c>
      <c r="AH96" s="172">
        <f t="shared" si="3"/>
        <v>259749.36037773191</v>
      </c>
      <c r="AI96" s="172">
        <f t="shared" si="3"/>
        <v>267541.84118906508</v>
      </c>
      <c r="AJ96" s="172">
        <f t="shared" si="3"/>
        <v>275568.09642473579</v>
      </c>
      <c r="AK96" s="172">
        <f t="shared" si="3"/>
        <v>283835.13931747846</v>
      </c>
    </row>
    <row r="97" spans="1:37" ht="15.75" customHeight="1" x14ac:dyDescent="0.3">
      <c r="A97" s="8"/>
      <c r="B97" s="8"/>
      <c r="C97" s="8" t="s">
        <v>218</v>
      </c>
      <c r="D97" s="8"/>
      <c r="E97" s="8"/>
      <c r="F97" s="8"/>
      <c r="G97" s="8"/>
      <c r="H97" s="8"/>
      <c r="I97" s="8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60"/>
    </row>
    <row r="98" spans="1:37" ht="15" customHeight="1" x14ac:dyDescent="0.3">
      <c r="D98" t="s">
        <v>188</v>
      </c>
      <c r="M98">
        <f>'Dashboard Control'!D11</f>
        <v>55</v>
      </c>
      <c r="Z98" s="10"/>
      <c r="AA98" s="167">
        <f t="shared" ref="AA98:AK98" si="4">AA117*AA127</f>
        <v>184000</v>
      </c>
      <c r="AB98" s="167">
        <f t="shared" si="4"/>
        <v>189520</v>
      </c>
      <c r="AC98" s="167">
        <f t="shared" si="4"/>
        <v>195205.6</v>
      </c>
      <c r="AD98" s="167">
        <f t="shared" si="4"/>
        <v>201061.76800000001</v>
      </c>
      <c r="AE98" s="167">
        <f t="shared" si="4"/>
        <v>207093.62104000003</v>
      </c>
      <c r="AF98" s="167">
        <f t="shared" si="4"/>
        <v>213306.42967120002</v>
      </c>
      <c r="AG98" s="167">
        <f t="shared" si="4"/>
        <v>219705.62256133603</v>
      </c>
      <c r="AH98" s="167">
        <f t="shared" si="4"/>
        <v>226296.79123817611</v>
      </c>
      <c r="AI98" s="167">
        <f t="shared" si="4"/>
        <v>233085.69497532141</v>
      </c>
      <c r="AJ98" s="167">
        <f t="shared" si="4"/>
        <v>240078.26582458106</v>
      </c>
      <c r="AK98" s="167">
        <f t="shared" si="4"/>
        <v>247280.6137993185</v>
      </c>
    </row>
    <row r="99" spans="1:37" ht="15" customHeight="1" x14ac:dyDescent="0.3">
      <c r="D99" t="s">
        <v>243</v>
      </c>
      <c r="M99">
        <v>25</v>
      </c>
      <c r="Z99" s="10"/>
      <c r="AA99" s="167"/>
      <c r="AB99" s="167">
        <f>AB118*AB128</f>
        <v>35880</v>
      </c>
      <c r="AC99" s="167">
        <f t="shared" ref="AC99:AK99" si="5">AC118*AC128</f>
        <v>39799.199999999997</v>
      </c>
      <c r="AD99" s="167">
        <f t="shared" si="5"/>
        <v>43921.26</v>
      </c>
      <c r="AE99" s="167">
        <f t="shared" si="5"/>
        <v>48254.824320000007</v>
      </c>
      <c r="AF99" s="167">
        <f t="shared" si="5"/>
        <v>52808.873365200001</v>
      </c>
      <c r="AG99" s="167">
        <f t="shared" si="5"/>
        <v>57592.736011224006</v>
      </c>
      <c r="AH99" s="167">
        <f t="shared" si="5"/>
        <v>59320.518091560727</v>
      </c>
      <c r="AI99" s="167">
        <f t="shared" si="5"/>
        <v>61100.133634307545</v>
      </c>
      <c r="AJ99" s="167">
        <f t="shared" si="5"/>
        <v>62933.137643336777</v>
      </c>
      <c r="AK99" s="167">
        <f t="shared" si="5"/>
        <v>64821.13177263688</v>
      </c>
    </row>
    <row r="100" spans="1:37" s="4" customFormat="1" ht="16.5" customHeight="1" x14ac:dyDescent="0.3">
      <c r="C100" s="169"/>
      <c r="D100" s="4" t="s">
        <v>208</v>
      </c>
      <c r="M100" s="4">
        <f>'Dashboard Control'!D12</f>
        <v>4</v>
      </c>
      <c r="Z100" s="10"/>
      <c r="AA100" s="167">
        <f>AA119*AA129</f>
        <v>28989</v>
      </c>
      <c r="AB100" s="167">
        <f>AB119*AB129</f>
        <v>29858.670000000002</v>
      </c>
      <c r="AC100" s="167">
        <f t="shared" ref="AC100:AK100" si="6">AC119*AC129</f>
        <v>30754.430100000001</v>
      </c>
      <c r="AD100" s="167">
        <f t="shared" si="6"/>
        <v>31677.063003000003</v>
      </c>
      <c r="AE100" s="167">
        <f t="shared" si="6"/>
        <v>32627.374893090004</v>
      </c>
      <c r="AF100" s="167">
        <f t="shared" si="6"/>
        <v>33606.196139882704</v>
      </c>
      <c r="AG100" s="167">
        <f t="shared" si="6"/>
        <v>34614.382024079183</v>
      </c>
      <c r="AH100" s="167">
        <f t="shared" si="6"/>
        <v>35652.813484801562</v>
      </c>
      <c r="AI100" s="167">
        <f t="shared" si="6"/>
        <v>36722.397889345608</v>
      </c>
      <c r="AJ100" s="167">
        <f t="shared" si="6"/>
        <v>37824.069826025974</v>
      </c>
      <c r="AK100" s="167">
        <f t="shared" si="6"/>
        <v>38958.791920806754</v>
      </c>
    </row>
    <row r="101" spans="1:37" s="4" customFormat="1" ht="16.5" customHeight="1" x14ac:dyDescent="0.3">
      <c r="C101" s="169"/>
      <c r="D101" s="236" t="s">
        <v>219</v>
      </c>
      <c r="E101" s="237"/>
      <c r="F101" s="237"/>
      <c r="G101" s="237"/>
      <c r="H101" s="237"/>
      <c r="I101" s="237"/>
      <c r="J101" s="237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181"/>
      <c r="AA101" s="212">
        <f>SUM(AA98:AA100)</f>
        <v>212989</v>
      </c>
      <c r="AB101" s="212">
        <f>SUM(AB98:AB100)</f>
        <v>255258.67</v>
      </c>
      <c r="AC101" s="212">
        <f t="shared" ref="AC101:AK101" si="7">SUM(AC98:AC100)</f>
        <v>265759.23009999999</v>
      </c>
      <c r="AD101" s="212">
        <f t="shared" si="7"/>
        <v>276660.09100300004</v>
      </c>
      <c r="AE101" s="212">
        <f t="shared" si="7"/>
        <v>287975.82025309006</v>
      </c>
      <c r="AF101" s="212">
        <f t="shared" si="7"/>
        <v>299721.49917628273</v>
      </c>
      <c r="AG101" s="212">
        <f t="shared" si="7"/>
        <v>311912.74059663923</v>
      </c>
      <c r="AH101" s="212">
        <f t="shared" si="7"/>
        <v>321270.12281453842</v>
      </c>
      <c r="AI101" s="212">
        <f t="shared" si="7"/>
        <v>330908.22649897455</v>
      </c>
      <c r="AJ101" s="212">
        <f t="shared" si="7"/>
        <v>340835.4732939438</v>
      </c>
      <c r="AK101" s="212">
        <f t="shared" si="7"/>
        <v>351060.53749276215</v>
      </c>
    </row>
    <row r="102" spans="1:37" s="4" customFormat="1" ht="16.5" customHeight="1" x14ac:dyDescent="0.3">
      <c r="B102" s="46"/>
      <c r="C102" s="46"/>
      <c r="D102" s="203" t="s">
        <v>246</v>
      </c>
      <c r="E102" s="23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181"/>
      <c r="AA102" s="233">
        <f t="shared" ref="AA102:AK102" si="8">AA122*AA132</f>
        <v>164000</v>
      </c>
      <c r="AB102" s="233">
        <f t="shared" si="8"/>
        <v>168920</v>
      </c>
      <c r="AC102" s="233">
        <f t="shared" si="8"/>
        <v>173987.6</v>
      </c>
      <c r="AD102" s="233">
        <f t="shared" si="8"/>
        <v>179207.228</v>
      </c>
      <c r="AE102" s="233">
        <f t="shared" si="8"/>
        <v>184583.44484000001</v>
      </c>
      <c r="AF102" s="233">
        <f t="shared" si="8"/>
        <v>190120.94818520002</v>
      </c>
      <c r="AG102" s="233">
        <f t="shared" si="8"/>
        <v>195824.57663075603</v>
      </c>
      <c r="AH102" s="233">
        <f t="shared" si="8"/>
        <v>201699.3139296787</v>
      </c>
      <c r="AI102" s="233">
        <f t="shared" si="8"/>
        <v>207750.29334756907</v>
      </c>
      <c r="AJ102" s="233">
        <f t="shared" si="8"/>
        <v>213982.80214799615</v>
      </c>
      <c r="AK102" s="233">
        <f t="shared" si="8"/>
        <v>220402.28621243604</v>
      </c>
    </row>
    <row r="103" spans="1:37" s="4" customFormat="1" ht="16.5" customHeight="1" x14ac:dyDescent="0.3">
      <c r="C103" s="8" t="s">
        <v>179</v>
      </c>
      <c r="Z103" s="10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</row>
    <row r="104" spans="1:37" s="4" customFormat="1" ht="16.5" customHeight="1" x14ac:dyDescent="0.3">
      <c r="C104" s="169"/>
      <c r="D104" s="97" t="s">
        <v>221</v>
      </c>
      <c r="E104" s="204"/>
      <c r="Z104" s="10"/>
      <c r="AA104" s="202">
        <f t="shared" ref="AA104:AK104" si="9">AA120*AA130</f>
        <v>2400</v>
      </c>
      <c r="AB104" s="202">
        <f t="shared" si="9"/>
        <v>2472</v>
      </c>
      <c r="AC104" s="202">
        <f t="shared" si="9"/>
        <v>2546.16</v>
      </c>
      <c r="AD104" s="202">
        <f t="shared" si="9"/>
        <v>2622.5448000000001</v>
      </c>
      <c r="AE104" s="202">
        <f t="shared" si="9"/>
        <v>2701.2211440000001</v>
      </c>
      <c r="AF104" s="202">
        <f t="shared" si="9"/>
        <v>2782.2577783199999</v>
      </c>
      <c r="AG104" s="202">
        <f t="shared" si="9"/>
        <v>2865.7255116696001</v>
      </c>
      <c r="AH104" s="202">
        <f t="shared" si="9"/>
        <v>2951.697277019688</v>
      </c>
      <c r="AI104" s="202">
        <f t="shared" si="9"/>
        <v>3040.2481953302786</v>
      </c>
      <c r="AJ104" s="202">
        <f t="shared" si="9"/>
        <v>3131.4556411901872</v>
      </c>
      <c r="AK104" s="202">
        <f t="shared" si="9"/>
        <v>3225.399310425893</v>
      </c>
    </row>
    <row r="105" spans="1:37" s="4" customFormat="1" ht="16.5" customHeight="1" x14ac:dyDescent="0.3">
      <c r="C105" s="169"/>
      <c r="D105" s="97" t="s">
        <v>220</v>
      </c>
      <c r="E105" s="204"/>
      <c r="Z105" s="10"/>
      <c r="AA105" s="202">
        <f t="shared" ref="AA105:AK105" si="10">AA121*AA131</f>
        <v>19000</v>
      </c>
      <c r="AB105" s="202">
        <f t="shared" si="10"/>
        <v>19570</v>
      </c>
      <c r="AC105" s="202">
        <f t="shared" si="10"/>
        <v>20157.100000000002</v>
      </c>
      <c r="AD105" s="202">
        <f t="shared" si="10"/>
        <v>20761.813000000002</v>
      </c>
      <c r="AE105" s="202">
        <f t="shared" si="10"/>
        <v>21384.667390000002</v>
      </c>
      <c r="AF105" s="202">
        <f t="shared" si="10"/>
        <v>22026.207411700005</v>
      </c>
      <c r="AG105" s="202">
        <f t="shared" si="10"/>
        <v>22686.993634051007</v>
      </c>
      <c r="AH105" s="202">
        <f t="shared" si="10"/>
        <v>23367.603443072538</v>
      </c>
      <c r="AI105" s="202">
        <f t="shared" si="10"/>
        <v>24068.631546364715</v>
      </c>
      <c r="AJ105" s="202">
        <f t="shared" si="10"/>
        <v>24790.690492755657</v>
      </c>
      <c r="AK105" s="202">
        <f t="shared" si="10"/>
        <v>25534.411207538327</v>
      </c>
    </row>
    <row r="106" spans="1:37" s="4" customFormat="1" x14ac:dyDescent="0.3">
      <c r="C106" s="169"/>
      <c r="D106" s="97" t="s">
        <v>223</v>
      </c>
      <c r="E106" s="204"/>
      <c r="Z106" s="10"/>
      <c r="AA106" s="202">
        <f t="shared" ref="AA106:AK106" si="11">AA123*AA133</f>
        <v>40000</v>
      </c>
      <c r="AB106" s="202">
        <f t="shared" si="11"/>
        <v>40000</v>
      </c>
      <c r="AC106" s="202">
        <f t="shared" si="11"/>
        <v>40000</v>
      </c>
      <c r="AD106" s="202">
        <f t="shared" si="11"/>
        <v>40000</v>
      </c>
      <c r="AE106" s="202">
        <f t="shared" si="11"/>
        <v>40000</v>
      </c>
      <c r="AF106" s="202">
        <f t="shared" si="11"/>
        <v>40000</v>
      </c>
      <c r="AG106" s="202">
        <f t="shared" si="11"/>
        <v>40000</v>
      </c>
      <c r="AH106" s="202">
        <f t="shared" si="11"/>
        <v>40000</v>
      </c>
      <c r="AI106" s="202">
        <f t="shared" si="11"/>
        <v>40000</v>
      </c>
      <c r="AJ106" s="202">
        <f t="shared" si="11"/>
        <v>40000</v>
      </c>
      <c r="AK106" s="202">
        <f t="shared" si="11"/>
        <v>40000</v>
      </c>
    </row>
    <row r="107" spans="1:37" x14ac:dyDescent="0.3">
      <c r="A107" s="4"/>
      <c r="B107" s="46"/>
      <c r="C107" s="46"/>
      <c r="D107" s="203" t="s">
        <v>204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181"/>
      <c r="AA107" s="212">
        <f t="shared" ref="AA107:AK107" si="12">SUM(AA104:AA106)</f>
        <v>61400</v>
      </c>
      <c r="AB107" s="212">
        <f t="shared" si="12"/>
        <v>62042</v>
      </c>
      <c r="AC107" s="212">
        <f t="shared" si="12"/>
        <v>62703.26</v>
      </c>
      <c r="AD107" s="212">
        <f t="shared" si="12"/>
        <v>63384.357799999998</v>
      </c>
      <c r="AE107" s="212">
        <f t="shared" si="12"/>
        <v>64085.888533999998</v>
      </c>
      <c r="AF107" s="212">
        <f t="shared" si="12"/>
        <v>64808.465190020004</v>
      </c>
      <c r="AG107" s="212">
        <f t="shared" si="12"/>
        <v>65552.719145720606</v>
      </c>
      <c r="AH107" s="212">
        <f t="shared" si="12"/>
        <v>66319.300720092229</v>
      </c>
      <c r="AI107" s="212">
        <f t="shared" si="12"/>
        <v>67108.879741694996</v>
      </c>
      <c r="AJ107" s="212">
        <f t="shared" si="12"/>
        <v>67922.146133945847</v>
      </c>
      <c r="AK107" s="212">
        <f t="shared" si="12"/>
        <v>68759.810517964215</v>
      </c>
    </row>
    <row r="108" spans="1:37" ht="9" customHeight="1" x14ac:dyDescent="0.3">
      <c r="A108" s="4"/>
      <c r="B108" s="4"/>
      <c r="C108" s="4"/>
      <c r="D108" s="18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234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</row>
    <row r="109" spans="1:37" ht="14.25" customHeight="1" x14ac:dyDescent="0.3">
      <c r="B109" s="8" t="s">
        <v>228</v>
      </c>
      <c r="T109" s="168"/>
      <c r="Z109" s="10"/>
      <c r="AA109" s="172">
        <f>AA96+AA101+AA102+AA107</f>
        <v>649589</v>
      </c>
      <c r="AB109" s="172">
        <f t="shared" ref="AB109:AK109" si="13">AB96+AB101+AB102+AB107</f>
        <v>703756.67</v>
      </c>
      <c r="AC109" s="172">
        <f t="shared" si="13"/>
        <v>726512.17010000022</v>
      </c>
      <c r="AD109" s="172">
        <f t="shared" si="13"/>
        <v>750035.61920300021</v>
      </c>
      <c r="AE109" s="172">
        <f t="shared" si="13"/>
        <v>774352.61429909046</v>
      </c>
      <c r="AF109" s="172">
        <f t="shared" si="13"/>
        <v>799489.59704366245</v>
      </c>
      <c r="AG109" s="172">
        <f t="shared" si="13"/>
        <v>825473.88140004023</v>
      </c>
      <c r="AH109" s="172">
        <f t="shared" si="13"/>
        <v>849038.09784204129</v>
      </c>
      <c r="AI109" s="172">
        <f t="shared" si="13"/>
        <v>873309.2407773037</v>
      </c>
      <c r="AJ109" s="172">
        <f t="shared" si="13"/>
        <v>898308.51800062158</v>
      </c>
      <c r="AK109" s="172">
        <f t="shared" si="13"/>
        <v>924057.77354064083</v>
      </c>
    </row>
    <row r="110" spans="1:37" ht="14.25" customHeight="1" thickBot="1" x14ac:dyDescent="0.35">
      <c r="B110" s="3"/>
      <c r="C110" s="216" t="s">
        <v>203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217"/>
      <c r="U110" s="3"/>
      <c r="V110" s="3"/>
      <c r="W110" s="3"/>
      <c r="X110" s="3"/>
      <c r="Y110" s="3"/>
      <c r="Z110" s="65"/>
      <c r="AA110" s="218">
        <v>103856</v>
      </c>
      <c r="AB110" s="218">
        <f>AA110*1.02</f>
        <v>105933.12</v>
      </c>
      <c r="AC110" s="218">
        <f t="shared" ref="AC110:AK110" si="14">AB110*1.02</f>
        <v>108051.7824</v>
      </c>
      <c r="AD110" s="218">
        <f t="shared" si="14"/>
        <v>110212.818048</v>
      </c>
      <c r="AE110" s="218">
        <f t="shared" si="14"/>
        <v>112417.07440896</v>
      </c>
      <c r="AF110" s="218">
        <f t="shared" si="14"/>
        <v>114665.4158971392</v>
      </c>
      <c r="AG110" s="218">
        <f t="shared" si="14"/>
        <v>116958.72421508199</v>
      </c>
      <c r="AH110" s="218">
        <f t="shared" si="14"/>
        <v>119297.89869938363</v>
      </c>
      <c r="AI110" s="218">
        <f t="shared" si="14"/>
        <v>121683.85667337131</v>
      </c>
      <c r="AJ110" s="218">
        <f t="shared" si="14"/>
        <v>124117.53380683874</v>
      </c>
      <c r="AK110" s="218">
        <f t="shared" si="14"/>
        <v>126599.88448297551</v>
      </c>
    </row>
    <row r="111" spans="1:37" ht="15" customHeight="1" thickBot="1" x14ac:dyDescent="0.35">
      <c r="A111" s="8"/>
      <c r="B111" s="213" t="s">
        <v>198</v>
      </c>
      <c r="C111" s="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4"/>
      <c r="AA111" s="215">
        <f>AA109-AA110</f>
        <v>545733</v>
      </c>
      <c r="AB111" s="215">
        <f t="shared" ref="AB111:AK111" si="15">AB109-AB110</f>
        <v>597823.55000000005</v>
      </c>
      <c r="AC111" s="215">
        <f t="shared" si="15"/>
        <v>618460.3877000002</v>
      </c>
      <c r="AD111" s="215">
        <f t="shared" si="15"/>
        <v>639822.80115500023</v>
      </c>
      <c r="AE111" s="215">
        <f t="shared" si="15"/>
        <v>661935.53989013052</v>
      </c>
      <c r="AF111" s="215">
        <f t="shared" si="15"/>
        <v>684824.18114652322</v>
      </c>
      <c r="AG111" s="215">
        <f t="shared" si="15"/>
        <v>708515.15718495823</v>
      </c>
      <c r="AH111" s="215">
        <f t="shared" si="15"/>
        <v>729740.19914265769</v>
      </c>
      <c r="AI111" s="215">
        <f t="shared" si="15"/>
        <v>751625.38410393242</v>
      </c>
      <c r="AJ111" s="215">
        <f t="shared" si="15"/>
        <v>774190.98419378279</v>
      </c>
      <c r="AK111" s="215">
        <f t="shared" si="15"/>
        <v>797457.88905766536</v>
      </c>
    </row>
    <row r="112" spans="1:37" ht="15" customHeight="1" x14ac:dyDescent="0.3">
      <c r="Z112" s="4"/>
    </row>
    <row r="113" spans="1:37" ht="15" customHeight="1" x14ac:dyDescent="0.3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2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</row>
    <row r="114" spans="1:37" ht="15" customHeight="1" thickBot="1" x14ac:dyDescent="0.35"/>
    <row r="115" spans="1:37" ht="15" customHeight="1" x14ac:dyDescent="0.3">
      <c r="C115" s="184" t="s">
        <v>210</v>
      </c>
      <c r="D115" s="197"/>
      <c r="E115" s="197"/>
      <c r="F115" s="197"/>
      <c r="G115" s="197"/>
      <c r="H115" s="197"/>
      <c r="I115" s="197"/>
      <c r="J115" s="197"/>
      <c r="K115" s="186" t="s">
        <v>176</v>
      </c>
      <c r="L115" s="197"/>
      <c r="M115" s="197"/>
      <c r="N115" s="197"/>
      <c r="O115" s="197"/>
      <c r="P115" s="197"/>
      <c r="Q115" s="197"/>
      <c r="R115" s="197"/>
      <c r="S115" s="197"/>
      <c r="T115" s="187">
        <f>'Dashboard Control'!D32</f>
        <v>0.03</v>
      </c>
      <c r="U115" s="197"/>
      <c r="V115" s="197"/>
      <c r="W115" s="197"/>
      <c r="X115" s="197"/>
      <c r="Y115" s="197"/>
      <c r="Z115" s="197"/>
      <c r="AA115" s="186"/>
      <c r="AB115" s="197"/>
      <c r="AC115" s="197"/>
      <c r="AD115" s="186"/>
      <c r="AE115" s="186"/>
      <c r="AF115" s="186"/>
      <c r="AG115" s="186"/>
      <c r="AH115" s="186"/>
      <c r="AI115" s="186"/>
      <c r="AJ115" s="186"/>
      <c r="AK115" s="198"/>
    </row>
    <row r="116" spans="1:37" ht="15.75" customHeight="1" x14ac:dyDescent="0.3">
      <c r="C116" s="199" t="s">
        <v>174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200" t="s">
        <v>1</v>
      </c>
      <c r="AB116" s="200" t="s">
        <v>2</v>
      </c>
      <c r="AC116" s="200" t="s">
        <v>3</v>
      </c>
      <c r="AD116" s="200" t="s">
        <v>4</v>
      </c>
      <c r="AE116" s="200" t="s">
        <v>5</v>
      </c>
      <c r="AF116" s="200" t="s">
        <v>6</v>
      </c>
      <c r="AG116" s="200" t="s">
        <v>7</v>
      </c>
      <c r="AH116" s="200" t="s">
        <v>8</v>
      </c>
      <c r="AI116" s="200" t="s">
        <v>9</v>
      </c>
      <c r="AJ116" s="200" t="s">
        <v>10</v>
      </c>
      <c r="AK116" s="201" t="s">
        <v>215</v>
      </c>
    </row>
    <row r="117" spans="1:37" ht="16.5" customHeight="1" x14ac:dyDescent="0.3">
      <c r="C117" s="188" t="s">
        <v>211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2">
        <v>184000</v>
      </c>
      <c r="AB117" s="42">
        <f t="shared" ref="AB117:AK117" si="16">AA117*(1+$T$115)</f>
        <v>189520</v>
      </c>
      <c r="AC117" s="42">
        <f t="shared" si="16"/>
        <v>195205.6</v>
      </c>
      <c r="AD117" s="42">
        <f t="shared" si="16"/>
        <v>201061.76800000001</v>
      </c>
      <c r="AE117" s="42">
        <f t="shared" si="16"/>
        <v>207093.62104000003</v>
      </c>
      <c r="AF117" s="42">
        <f t="shared" si="16"/>
        <v>213306.42967120002</v>
      </c>
      <c r="AG117" s="42">
        <f t="shared" si="16"/>
        <v>219705.62256133603</v>
      </c>
      <c r="AH117" s="42">
        <f t="shared" si="16"/>
        <v>226296.79123817611</v>
      </c>
      <c r="AI117" s="42">
        <f t="shared" si="16"/>
        <v>233085.69497532141</v>
      </c>
      <c r="AJ117" s="42">
        <f t="shared" si="16"/>
        <v>240078.26582458106</v>
      </c>
      <c r="AK117" s="189">
        <f t="shared" si="16"/>
        <v>247280.6137993185</v>
      </c>
    </row>
    <row r="118" spans="1:37" ht="16.5" customHeight="1" x14ac:dyDescent="0.3">
      <c r="C118" s="188" t="s">
        <v>243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2">
        <v>0</v>
      </c>
      <c r="AB118" s="42">
        <f>AA117*0.3</f>
        <v>55200</v>
      </c>
      <c r="AC118" s="42">
        <f>AB118*(1+$T$115)</f>
        <v>56856</v>
      </c>
      <c r="AD118" s="42">
        <f t="shared" ref="AD118:AK118" si="17">AC118*(1+$T$115)</f>
        <v>58561.68</v>
      </c>
      <c r="AE118" s="42">
        <f t="shared" si="17"/>
        <v>60318.530400000003</v>
      </c>
      <c r="AF118" s="42">
        <f t="shared" si="17"/>
        <v>62128.086312000007</v>
      </c>
      <c r="AG118" s="42">
        <f t="shared" si="17"/>
        <v>63991.928901360006</v>
      </c>
      <c r="AH118" s="42">
        <f t="shared" si="17"/>
        <v>65911.686768400803</v>
      </c>
      <c r="AI118" s="42">
        <f t="shared" si="17"/>
        <v>67889.037371452825</v>
      </c>
      <c r="AJ118" s="42">
        <f t="shared" si="17"/>
        <v>69925.708492596415</v>
      </c>
      <c r="AK118" s="189">
        <f t="shared" si="17"/>
        <v>72023.479747374309</v>
      </c>
    </row>
    <row r="119" spans="1:37" ht="15" customHeight="1" x14ac:dyDescent="0.3">
      <c r="C119" s="188" t="s">
        <v>208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2">
        <v>28989</v>
      </c>
      <c r="AB119" s="42">
        <f>AA119*(1+$T$115)</f>
        <v>29858.670000000002</v>
      </c>
      <c r="AC119" s="42">
        <f>AB119*(1+$T$115)</f>
        <v>30754.430100000001</v>
      </c>
      <c r="AD119" s="42">
        <f t="shared" ref="AD119:AK119" si="18">AC119*(1+$T$115)</f>
        <v>31677.063003000003</v>
      </c>
      <c r="AE119" s="42">
        <f t="shared" si="18"/>
        <v>32627.374893090004</v>
      </c>
      <c r="AF119" s="42">
        <f t="shared" si="18"/>
        <v>33606.196139882704</v>
      </c>
      <c r="AG119" s="42">
        <f t="shared" si="18"/>
        <v>34614.382024079183</v>
      </c>
      <c r="AH119" s="42">
        <f t="shared" si="18"/>
        <v>35652.813484801562</v>
      </c>
      <c r="AI119" s="42">
        <f t="shared" si="18"/>
        <v>36722.397889345608</v>
      </c>
      <c r="AJ119" s="42">
        <f t="shared" si="18"/>
        <v>37824.069826025974</v>
      </c>
      <c r="AK119" s="189">
        <f t="shared" si="18"/>
        <v>38958.791920806754</v>
      </c>
    </row>
    <row r="120" spans="1:37" ht="15" customHeight="1" x14ac:dyDescent="0.3">
      <c r="C120" s="188" t="s">
        <v>221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2">
        <v>2400</v>
      </c>
      <c r="AB120" s="42">
        <f t="shared" ref="AB120:AK122" si="19">AA120*(1+$T$115)</f>
        <v>2472</v>
      </c>
      <c r="AC120" s="42">
        <f t="shared" si="19"/>
        <v>2546.16</v>
      </c>
      <c r="AD120" s="42">
        <f t="shared" si="19"/>
        <v>2622.5448000000001</v>
      </c>
      <c r="AE120" s="42">
        <f t="shared" si="19"/>
        <v>2701.2211440000001</v>
      </c>
      <c r="AF120" s="42">
        <f t="shared" si="19"/>
        <v>2782.2577783199999</v>
      </c>
      <c r="AG120" s="42">
        <f t="shared" si="19"/>
        <v>2865.7255116696001</v>
      </c>
      <c r="AH120" s="42">
        <f t="shared" si="19"/>
        <v>2951.697277019688</v>
      </c>
      <c r="AI120" s="42">
        <f t="shared" si="19"/>
        <v>3040.2481953302786</v>
      </c>
      <c r="AJ120" s="42">
        <f t="shared" si="19"/>
        <v>3131.4556411901872</v>
      </c>
      <c r="AK120" s="189">
        <f t="shared" si="19"/>
        <v>3225.399310425893</v>
      </c>
    </row>
    <row r="121" spans="1:37" ht="15" customHeight="1" x14ac:dyDescent="0.3">
      <c r="C121" s="188" t="s">
        <v>220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2">
        <v>19000</v>
      </c>
      <c r="AB121" s="42">
        <f t="shared" si="19"/>
        <v>19570</v>
      </c>
      <c r="AC121" s="42">
        <f t="shared" si="19"/>
        <v>20157.100000000002</v>
      </c>
      <c r="AD121" s="42">
        <f t="shared" si="19"/>
        <v>20761.813000000002</v>
      </c>
      <c r="AE121" s="42">
        <f t="shared" si="19"/>
        <v>21384.667390000002</v>
      </c>
      <c r="AF121" s="42">
        <f t="shared" si="19"/>
        <v>22026.207411700005</v>
      </c>
      <c r="AG121" s="42">
        <f t="shared" si="19"/>
        <v>22686.993634051007</v>
      </c>
      <c r="AH121" s="42">
        <f t="shared" si="19"/>
        <v>23367.603443072538</v>
      </c>
      <c r="AI121" s="42">
        <f t="shared" si="19"/>
        <v>24068.631546364715</v>
      </c>
      <c r="AJ121" s="42">
        <f t="shared" si="19"/>
        <v>24790.690492755657</v>
      </c>
      <c r="AK121" s="189">
        <f t="shared" si="19"/>
        <v>25534.411207538327</v>
      </c>
    </row>
    <row r="122" spans="1:37" ht="15" customHeight="1" x14ac:dyDescent="0.3">
      <c r="C122" s="188" t="s">
        <v>222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2">
        <v>164000</v>
      </c>
      <c r="AB122" s="42">
        <f t="shared" si="19"/>
        <v>168920</v>
      </c>
      <c r="AC122" s="42">
        <f t="shared" si="19"/>
        <v>173987.6</v>
      </c>
      <c r="AD122" s="42">
        <f t="shared" si="19"/>
        <v>179207.228</v>
      </c>
      <c r="AE122" s="42">
        <f t="shared" si="19"/>
        <v>184583.44484000001</v>
      </c>
      <c r="AF122" s="42">
        <f t="shared" si="19"/>
        <v>190120.94818520002</v>
      </c>
      <c r="AG122" s="42">
        <f t="shared" si="19"/>
        <v>195824.57663075603</v>
      </c>
      <c r="AH122" s="42">
        <f t="shared" si="19"/>
        <v>201699.3139296787</v>
      </c>
      <c r="AI122" s="42">
        <f t="shared" si="19"/>
        <v>207750.29334756907</v>
      </c>
      <c r="AJ122" s="42">
        <f t="shared" si="19"/>
        <v>213982.80214799615</v>
      </c>
      <c r="AK122" s="189">
        <f t="shared" si="19"/>
        <v>220402.28621243604</v>
      </c>
    </row>
    <row r="123" spans="1:37" ht="15" customHeight="1" x14ac:dyDescent="0.3">
      <c r="C123" s="209" t="s">
        <v>223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210">
        <v>40000</v>
      </c>
      <c r="AB123" s="210">
        <v>40000</v>
      </c>
      <c r="AC123" s="210">
        <v>40000</v>
      </c>
      <c r="AD123" s="210">
        <v>40000</v>
      </c>
      <c r="AE123" s="210">
        <v>40000</v>
      </c>
      <c r="AF123" s="210">
        <v>40000</v>
      </c>
      <c r="AG123" s="210">
        <v>40000</v>
      </c>
      <c r="AH123" s="210">
        <v>40000</v>
      </c>
      <c r="AI123" s="210">
        <v>40000</v>
      </c>
      <c r="AJ123" s="210">
        <v>40000</v>
      </c>
      <c r="AK123" s="211">
        <v>40000</v>
      </c>
    </row>
    <row r="124" spans="1:37" ht="15" customHeight="1" thickBot="1" x14ac:dyDescent="0.35">
      <c r="C124" s="19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129"/>
    </row>
    <row r="125" spans="1:37" ht="15" customHeight="1" x14ac:dyDescent="0.3">
      <c r="C125" s="194" t="s">
        <v>212</v>
      </c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6"/>
    </row>
    <row r="126" spans="1:37" ht="15" customHeight="1" x14ac:dyDescent="0.3">
      <c r="C126" s="199" t="s">
        <v>174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200" t="s">
        <v>1</v>
      </c>
      <c r="AB126" s="200" t="s">
        <v>2</v>
      </c>
      <c r="AC126" s="200" t="s">
        <v>3</v>
      </c>
      <c r="AD126" s="200" t="s">
        <v>4</v>
      </c>
      <c r="AE126" s="200" t="s">
        <v>5</v>
      </c>
      <c r="AF126" s="200" t="s">
        <v>6</v>
      </c>
      <c r="AG126" s="200" t="s">
        <v>7</v>
      </c>
      <c r="AH126" s="200" t="s">
        <v>8</v>
      </c>
      <c r="AI126" s="200" t="s">
        <v>9</v>
      </c>
      <c r="AJ126" s="200" t="s">
        <v>10</v>
      </c>
      <c r="AK126" s="201" t="s">
        <v>215</v>
      </c>
    </row>
    <row r="127" spans="1:37" ht="15" customHeight="1" x14ac:dyDescent="0.3">
      <c r="C127" s="188" t="s">
        <v>213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90">
        <v>1</v>
      </c>
      <c r="AB127" s="190">
        <v>1</v>
      </c>
      <c r="AC127" s="190">
        <v>1</v>
      </c>
      <c r="AD127" s="190">
        <v>1</v>
      </c>
      <c r="AE127" s="190">
        <v>1</v>
      </c>
      <c r="AF127" s="190">
        <v>1</v>
      </c>
      <c r="AG127" s="190">
        <v>1</v>
      </c>
      <c r="AH127" s="190">
        <v>1</v>
      </c>
      <c r="AI127" s="190">
        <v>1</v>
      </c>
      <c r="AJ127" s="190">
        <v>1</v>
      </c>
      <c r="AK127" s="191">
        <v>1</v>
      </c>
    </row>
    <row r="128" spans="1:37" ht="15" customHeight="1" x14ac:dyDescent="0.3">
      <c r="C128" s="188" t="s">
        <v>242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90">
        <v>0</v>
      </c>
      <c r="AB128" s="190">
        <v>0.65</v>
      </c>
      <c r="AC128" s="190">
        <v>0.7</v>
      </c>
      <c r="AD128" s="190">
        <v>0.75</v>
      </c>
      <c r="AE128" s="190">
        <v>0.8</v>
      </c>
      <c r="AF128" s="190">
        <v>0.85</v>
      </c>
      <c r="AG128" s="190">
        <v>0.9</v>
      </c>
      <c r="AH128" s="190">
        <v>0.9</v>
      </c>
      <c r="AI128" s="190">
        <v>0.9</v>
      </c>
      <c r="AJ128" s="190">
        <v>0.9</v>
      </c>
      <c r="AK128" s="191">
        <v>0.9</v>
      </c>
    </row>
    <row r="129" spans="3:41" ht="15" customHeight="1" x14ac:dyDescent="0.3">
      <c r="C129" s="188" t="s">
        <v>214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90">
        <v>1</v>
      </c>
      <c r="AB129" s="190">
        <v>1</v>
      </c>
      <c r="AC129" s="190">
        <v>1</v>
      </c>
      <c r="AD129" s="190">
        <v>1</v>
      </c>
      <c r="AE129" s="190">
        <v>1</v>
      </c>
      <c r="AF129" s="190">
        <v>1</v>
      </c>
      <c r="AG129" s="190">
        <v>1</v>
      </c>
      <c r="AH129" s="190">
        <v>1</v>
      </c>
      <c r="AI129" s="190">
        <v>1</v>
      </c>
      <c r="AJ129" s="190">
        <v>1</v>
      </c>
      <c r="AK129" s="191">
        <v>1</v>
      </c>
    </row>
    <row r="130" spans="3:41" ht="15" customHeight="1" x14ac:dyDescent="0.3">
      <c r="C130" s="188" t="s">
        <v>224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90">
        <v>1</v>
      </c>
      <c r="AB130" s="190">
        <v>1</v>
      </c>
      <c r="AC130" s="190">
        <v>1</v>
      </c>
      <c r="AD130" s="190">
        <v>1</v>
      </c>
      <c r="AE130" s="190">
        <v>1</v>
      </c>
      <c r="AF130" s="190">
        <v>1</v>
      </c>
      <c r="AG130" s="190">
        <v>1</v>
      </c>
      <c r="AH130" s="190">
        <v>1</v>
      </c>
      <c r="AI130" s="190">
        <v>1</v>
      </c>
      <c r="AJ130" s="190">
        <v>1</v>
      </c>
      <c r="AK130" s="191">
        <v>1</v>
      </c>
    </row>
    <row r="131" spans="3:41" ht="15" customHeight="1" x14ac:dyDescent="0.3">
      <c r="C131" s="188" t="s">
        <v>225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90">
        <v>1</v>
      </c>
      <c r="AB131" s="190">
        <v>1</v>
      </c>
      <c r="AC131" s="190">
        <v>1</v>
      </c>
      <c r="AD131" s="190">
        <v>1</v>
      </c>
      <c r="AE131" s="190">
        <v>1</v>
      </c>
      <c r="AF131" s="190">
        <v>1</v>
      </c>
      <c r="AG131" s="190">
        <v>1</v>
      </c>
      <c r="AH131" s="190">
        <v>1</v>
      </c>
      <c r="AI131" s="190">
        <v>1</v>
      </c>
      <c r="AJ131" s="190">
        <v>1</v>
      </c>
      <c r="AK131" s="191">
        <v>1</v>
      </c>
    </row>
    <row r="132" spans="3:41" ht="15" customHeight="1" x14ac:dyDescent="0.3">
      <c r="C132" s="188" t="s">
        <v>226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90">
        <v>1</v>
      </c>
      <c r="AB132" s="190">
        <v>1</v>
      </c>
      <c r="AC132" s="190">
        <v>1</v>
      </c>
      <c r="AD132" s="190">
        <v>1</v>
      </c>
      <c r="AE132" s="190">
        <v>1</v>
      </c>
      <c r="AF132" s="190">
        <v>1</v>
      </c>
      <c r="AG132" s="190">
        <v>1</v>
      </c>
      <c r="AH132" s="190">
        <v>1</v>
      </c>
      <c r="AI132" s="190">
        <v>1</v>
      </c>
      <c r="AJ132" s="190">
        <v>1</v>
      </c>
      <c r="AK132" s="191">
        <v>1</v>
      </c>
    </row>
    <row r="133" spans="3:41" ht="15" customHeight="1" x14ac:dyDescent="0.3">
      <c r="C133" s="208" t="s">
        <v>227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90">
        <v>1</v>
      </c>
      <c r="AB133" s="190">
        <v>1</v>
      </c>
      <c r="AC133" s="190">
        <v>1</v>
      </c>
      <c r="AD133" s="190">
        <v>1</v>
      </c>
      <c r="AE133" s="190">
        <v>1</v>
      </c>
      <c r="AF133" s="190">
        <v>1</v>
      </c>
      <c r="AG133" s="190">
        <v>1</v>
      </c>
      <c r="AH133" s="190">
        <v>1</v>
      </c>
      <c r="AI133" s="190">
        <v>1</v>
      </c>
      <c r="AJ133" s="190">
        <v>1</v>
      </c>
      <c r="AK133" s="191">
        <v>1</v>
      </c>
    </row>
    <row r="134" spans="3:41" ht="15" customHeight="1" thickBot="1" x14ac:dyDescent="0.35">
      <c r="C134" s="19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193"/>
      <c r="AB134" s="3"/>
      <c r="AC134" s="3"/>
      <c r="AD134" s="3"/>
      <c r="AE134" s="3"/>
      <c r="AF134" s="3"/>
      <c r="AG134" s="3"/>
      <c r="AH134" s="3"/>
      <c r="AI134" s="3"/>
      <c r="AJ134" s="3"/>
      <c r="AK134" s="129"/>
    </row>
    <row r="135" spans="3:41" ht="15" customHeight="1" x14ac:dyDescent="0.3"/>
    <row r="136" spans="3:41" ht="15" customHeight="1" x14ac:dyDescent="0.3">
      <c r="AO136" s="156"/>
    </row>
    <row r="137" spans="3:41" ht="15" customHeight="1" x14ac:dyDescent="0.3">
      <c r="D137" s="20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3:41" x14ac:dyDescent="0.3">
      <c r="C138" s="207"/>
      <c r="D138" s="207"/>
    </row>
    <row r="139" spans="3:41" x14ac:dyDescent="0.3">
      <c r="C139" s="4"/>
      <c r="D139" s="4"/>
      <c r="AB139" s="4"/>
      <c r="AC139" s="205"/>
      <c r="AD139" s="205"/>
    </row>
    <row r="140" spans="3:41" x14ac:dyDescent="0.3">
      <c r="AB140" s="4"/>
      <c r="AC140" s="205"/>
      <c r="AD140" s="205"/>
    </row>
    <row r="141" spans="3:41" x14ac:dyDescent="0.3">
      <c r="AB141" s="206"/>
      <c r="AC141" s="4"/>
      <c r="AD141" s="4"/>
    </row>
    <row r="142" spans="3:41" x14ac:dyDescent="0.3">
      <c r="AO142" s="156"/>
    </row>
    <row r="151" spans="4:11" x14ac:dyDescent="0.3">
      <c r="D151" s="96"/>
      <c r="E151" s="120"/>
      <c r="F151" s="121"/>
      <c r="G151" s="121"/>
      <c r="H151" s="122"/>
      <c r="I151" s="119"/>
      <c r="J151" s="93"/>
      <c r="K151" s="93"/>
    </row>
    <row r="152" spans="4:11" x14ac:dyDescent="0.3">
      <c r="D152" s="96"/>
      <c r="E152" s="120"/>
      <c r="F152" s="121"/>
      <c r="G152" s="121"/>
      <c r="H152" s="122"/>
      <c r="I152" s="119"/>
      <c r="J152" s="93"/>
      <c r="K152" s="93"/>
    </row>
    <row r="153" spans="4:11" x14ac:dyDescent="0.3">
      <c r="D153" s="96"/>
      <c r="E153" s="120"/>
      <c r="F153" s="121"/>
      <c r="G153" s="121"/>
      <c r="H153" s="122"/>
      <c r="I153" s="119"/>
      <c r="J153" s="93"/>
      <c r="K153" s="93"/>
    </row>
    <row r="154" spans="4:11" x14ac:dyDescent="0.3">
      <c r="D154" s="96"/>
      <c r="E154" s="120"/>
      <c r="F154" s="121"/>
      <c r="G154" s="121"/>
      <c r="H154" s="122"/>
      <c r="I154" s="119"/>
      <c r="J154" s="93"/>
      <c r="K154" s="93"/>
    </row>
    <row r="155" spans="4:11" x14ac:dyDescent="0.3">
      <c r="D155" s="96"/>
      <c r="E155" s="120"/>
      <c r="F155" s="121"/>
      <c r="G155" s="121"/>
      <c r="H155" s="122"/>
      <c r="I155" s="119"/>
      <c r="J155" s="93"/>
      <c r="K155" s="93"/>
    </row>
    <row r="156" spans="4:11" x14ac:dyDescent="0.3">
      <c r="D156" s="96"/>
      <c r="E156" s="120"/>
      <c r="F156" s="121"/>
      <c r="G156" s="121"/>
      <c r="H156" s="122"/>
      <c r="I156" s="119"/>
      <c r="J156" s="93"/>
      <c r="K156" s="93"/>
    </row>
    <row r="157" spans="4:11" x14ac:dyDescent="0.3">
      <c r="D157" s="96"/>
      <c r="E157" s="120"/>
      <c r="F157" s="121"/>
      <c r="G157" s="121"/>
      <c r="H157" s="122"/>
      <c r="I157" s="119"/>
      <c r="J157" s="93"/>
      <c r="K157" s="93"/>
    </row>
    <row r="158" spans="4:11" x14ac:dyDescent="0.3">
      <c r="D158" s="96"/>
      <c r="E158" s="120"/>
      <c r="F158" s="121"/>
      <c r="G158" s="121"/>
      <c r="H158" s="122"/>
      <c r="I158" s="119"/>
      <c r="J158" s="93"/>
      <c r="K158" s="93"/>
    </row>
    <row r="159" spans="4:11" x14ac:dyDescent="0.3">
      <c r="D159" s="96"/>
      <c r="E159" s="120"/>
      <c r="F159" s="121"/>
      <c r="G159" s="121"/>
      <c r="H159" s="122"/>
      <c r="I159" s="119"/>
      <c r="J159" s="93"/>
      <c r="K159" s="93"/>
    </row>
    <row r="160" spans="4:11" x14ac:dyDescent="0.3">
      <c r="D160" s="96"/>
      <c r="E160" s="120"/>
      <c r="F160" s="121"/>
      <c r="G160" s="121"/>
      <c r="H160" s="122"/>
      <c r="I160" s="119"/>
      <c r="J160" s="93"/>
      <c r="K160" s="93"/>
    </row>
    <row r="161" spans="4:11" x14ac:dyDescent="0.3">
      <c r="D161" s="96"/>
      <c r="E161" s="120"/>
      <c r="F161" s="121"/>
      <c r="G161" s="121"/>
      <c r="H161" s="122"/>
      <c r="I161" s="119"/>
      <c r="J161" s="93"/>
      <c r="K161" s="93"/>
    </row>
    <row r="162" spans="4:11" x14ac:dyDescent="0.3">
      <c r="D162" s="96"/>
      <c r="E162" s="120"/>
      <c r="F162" s="121"/>
      <c r="G162" s="121"/>
      <c r="H162" s="122"/>
      <c r="I162" s="119"/>
      <c r="J162" s="93"/>
      <c r="K162" s="93"/>
    </row>
    <row r="163" spans="4:11" x14ac:dyDescent="0.3">
      <c r="D163" s="96"/>
      <c r="E163" s="120"/>
      <c r="F163" s="121"/>
      <c r="G163" s="121"/>
      <c r="H163" s="122"/>
      <c r="I163" s="119"/>
      <c r="J163" s="93"/>
      <c r="K163" s="93"/>
    </row>
    <row r="164" spans="4:11" x14ac:dyDescent="0.3">
      <c r="D164" s="96"/>
      <c r="E164" s="120"/>
      <c r="F164" s="121"/>
      <c r="G164" s="121"/>
      <c r="H164" s="122"/>
      <c r="I164" s="119"/>
      <c r="J164" s="93"/>
      <c r="K164" s="93"/>
    </row>
    <row r="165" spans="4:11" x14ac:dyDescent="0.3">
      <c r="D165" s="96"/>
      <c r="E165" s="120"/>
      <c r="F165" s="121"/>
      <c r="G165" s="121"/>
      <c r="H165" s="122"/>
      <c r="I165" s="119"/>
      <c r="J165" s="93"/>
      <c r="K165" s="93"/>
    </row>
    <row r="166" spans="4:11" x14ac:dyDescent="0.3">
      <c r="D166" s="96"/>
      <c r="E166" s="120"/>
      <c r="F166" s="121"/>
      <c r="G166" s="121"/>
      <c r="H166" s="122"/>
      <c r="I166" s="119"/>
      <c r="J166" s="93"/>
      <c r="K166" s="93"/>
    </row>
    <row r="167" spans="4:11" x14ac:dyDescent="0.3">
      <c r="D167" s="96"/>
      <c r="E167" s="120"/>
      <c r="F167" s="121"/>
      <c r="G167" s="121"/>
      <c r="H167" s="122"/>
      <c r="I167" s="119"/>
      <c r="J167" s="93"/>
      <c r="K167" s="93"/>
    </row>
    <row r="168" spans="4:11" x14ac:dyDescent="0.3">
      <c r="D168" s="96"/>
      <c r="E168" s="120"/>
      <c r="F168" s="121"/>
      <c r="G168" s="121"/>
      <c r="H168" s="122"/>
      <c r="I168" s="119"/>
      <c r="J168" s="93"/>
      <c r="K168" s="93"/>
    </row>
    <row r="169" spans="4:11" x14ac:dyDescent="0.3">
      <c r="D169" s="96"/>
      <c r="E169" s="120"/>
      <c r="F169" s="121"/>
      <c r="G169" s="121"/>
      <c r="H169" s="122"/>
      <c r="I169" s="119"/>
      <c r="J169" s="93"/>
      <c r="K169" s="93"/>
    </row>
    <row r="170" spans="4:11" x14ac:dyDescent="0.3">
      <c r="D170" s="96"/>
      <c r="E170" s="120"/>
      <c r="F170" s="121"/>
      <c r="G170" s="121"/>
      <c r="H170" s="122"/>
      <c r="I170" s="119"/>
      <c r="J170" s="93"/>
      <c r="K170" s="93"/>
    </row>
    <row r="171" spans="4:11" x14ac:dyDescent="0.3">
      <c r="D171" s="96"/>
      <c r="E171" s="120"/>
      <c r="F171" s="121"/>
      <c r="G171" s="121"/>
      <c r="H171" s="122"/>
      <c r="I171" s="119"/>
      <c r="J171" s="93"/>
      <c r="K171" s="93"/>
    </row>
    <row r="172" spans="4:11" x14ac:dyDescent="0.3">
      <c r="D172" s="96"/>
      <c r="E172" s="120"/>
      <c r="F172" s="121"/>
      <c r="G172" s="121"/>
      <c r="H172" s="122"/>
      <c r="I172" s="119"/>
      <c r="J172" s="93"/>
      <c r="K172" s="93"/>
    </row>
    <row r="173" spans="4:11" x14ac:dyDescent="0.3">
      <c r="D173" s="96"/>
      <c r="E173" s="120"/>
      <c r="F173" s="121"/>
      <c r="G173" s="121"/>
      <c r="H173" s="122"/>
      <c r="I173" s="119"/>
      <c r="J173" s="93"/>
      <c r="K173" s="93"/>
    </row>
    <row r="174" spans="4:11" x14ac:dyDescent="0.3">
      <c r="D174" s="96"/>
      <c r="E174" s="120"/>
      <c r="F174" s="121"/>
      <c r="G174" s="121"/>
      <c r="H174" s="122"/>
      <c r="I174" s="119"/>
      <c r="J174" s="93"/>
      <c r="K174" s="93"/>
    </row>
    <row r="175" spans="4:11" x14ac:dyDescent="0.3">
      <c r="D175" s="96"/>
      <c r="E175" s="120"/>
      <c r="F175" s="121"/>
      <c r="G175" s="121"/>
      <c r="H175" s="122"/>
      <c r="I175" s="119"/>
      <c r="J175" s="93"/>
      <c r="K175" s="93"/>
    </row>
    <row r="176" spans="4:11" x14ac:dyDescent="0.3">
      <c r="D176" s="96"/>
      <c r="E176" s="120"/>
      <c r="F176" s="121"/>
      <c r="G176" s="121"/>
      <c r="H176" s="122"/>
      <c r="I176" s="119"/>
      <c r="J176" s="93"/>
      <c r="K176" s="93"/>
    </row>
    <row r="177" spans="4:11" x14ac:dyDescent="0.3">
      <c r="D177" s="96"/>
      <c r="E177" s="120"/>
      <c r="F177" s="121"/>
      <c r="G177" s="121"/>
      <c r="H177" s="122"/>
      <c r="I177" s="119"/>
      <c r="J177" s="93"/>
      <c r="K177" s="93"/>
    </row>
    <row r="178" spans="4:11" x14ac:dyDescent="0.3">
      <c r="D178" s="96"/>
      <c r="E178" s="120"/>
      <c r="F178" s="121"/>
      <c r="G178" s="121"/>
      <c r="H178" s="122"/>
      <c r="I178" s="119"/>
      <c r="J178" s="93"/>
      <c r="K178" s="93"/>
    </row>
    <row r="179" spans="4:11" x14ac:dyDescent="0.3">
      <c r="D179" s="96"/>
      <c r="E179" s="120"/>
      <c r="F179" s="121"/>
      <c r="G179" s="121"/>
      <c r="H179" s="122"/>
      <c r="I179" s="119"/>
      <c r="J179" s="93"/>
      <c r="K179" s="93"/>
    </row>
    <row r="180" spans="4:11" x14ac:dyDescent="0.3">
      <c r="D180" s="96"/>
      <c r="E180" s="120"/>
      <c r="F180" s="121"/>
      <c r="G180" s="121"/>
      <c r="H180" s="122"/>
      <c r="I180" s="119"/>
      <c r="J180" s="93"/>
      <c r="K180" s="93"/>
    </row>
    <row r="181" spans="4:11" x14ac:dyDescent="0.3">
      <c r="D181" s="96"/>
      <c r="E181" s="120"/>
      <c r="F181" s="121"/>
      <c r="G181" s="121"/>
      <c r="H181" s="122"/>
      <c r="I181" s="119"/>
      <c r="J181" s="93"/>
      <c r="K181" s="93"/>
    </row>
    <row r="182" spans="4:11" x14ac:dyDescent="0.3">
      <c r="D182" s="96"/>
      <c r="E182" s="120"/>
      <c r="F182" s="121"/>
      <c r="G182" s="121"/>
      <c r="H182" s="122"/>
      <c r="I182" s="93"/>
      <c r="J182" s="93"/>
      <c r="K182" s="93"/>
    </row>
    <row r="183" spans="4:11" x14ac:dyDescent="0.3">
      <c r="D183" s="96"/>
      <c r="E183" s="120"/>
      <c r="F183" s="121"/>
      <c r="G183" s="121"/>
      <c r="H183" s="122"/>
      <c r="I183" s="93"/>
      <c r="J183" s="93"/>
      <c r="K183" s="93"/>
    </row>
    <row r="184" spans="4:11" x14ac:dyDescent="0.3">
      <c r="D184" s="96"/>
      <c r="E184" s="120"/>
      <c r="F184" s="121"/>
      <c r="G184" s="121"/>
      <c r="H184" s="122"/>
      <c r="I184" s="93"/>
      <c r="J184" s="93"/>
      <c r="K184" s="93"/>
    </row>
    <row r="185" spans="4:11" x14ac:dyDescent="0.3">
      <c r="D185" s="96"/>
      <c r="E185" s="120"/>
      <c r="F185" s="121"/>
      <c r="G185" s="121"/>
      <c r="H185" s="122"/>
      <c r="I185" s="93"/>
      <c r="J185" s="93"/>
      <c r="K185" s="93"/>
    </row>
    <row r="186" spans="4:11" x14ac:dyDescent="0.3">
      <c r="D186" s="96"/>
      <c r="E186" s="120"/>
      <c r="F186" s="121"/>
      <c r="G186" s="121"/>
      <c r="H186" s="122"/>
      <c r="I186" s="93"/>
      <c r="J186" s="93"/>
      <c r="K186" s="93"/>
    </row>
    <row r="187" spans="4:11" x14ac:dyDescent="0.3">
      <c r="D187" s="96"/>
      <c r="E187" s="120"/>
      <c r="F187" s="121"/>
      <c r="G187" s="121"/>
      <c r="H187" s="122"/>
      <c r="I187" s="93"/>
      <c r="J187" s="93"/>
      <c r="K187" s="93"/>
    </row>
    <row r="188" spans="4:11" x14ac:dyDescent="0.3">
      <c r="D188" s="96"/>
      <c r="E188" s="120"/>
      <c r="F188" s="121"/>
      <c r="G188" s="121"/>
      <c r="H188" s="122"/>
      <c r="I188" s="93"/>
      <c r="J188" s="93"/>
      <c r="K188" s="93"/>
    </row>
    <row r="189" spans="4:11" x14ac:dyDescent="0.3">
      <c r="D189" s="96"/>
      <c r="E189" s="120"/>
      <c r="F189" s="121"/>
      <c r="G189" s="121"/>
      <c r="H189" s="122"/>
      <c r="I189" s="93"/>
      <c r="J189" s="93"/>
      <c r="K189" s="93"/>
    </row>
    <row r="190" spans="4:11" x14ac:dyDescent="0.3">
      <c r="D190" s="96"/>
      <c r="E190" s="120"/>
      <c r="F190" s="121"/>
      <c r="G190" s="121"/>
      <c r="H190" s="122"/>
      <c r="I190" s="93"/>
      <c r="J190" s="93"/>
      <c r="K190" s="93"/>
    </row>
    <row r="191" spans="4:11" x14ac:dyDescent="0.3">
      <c r="D191" s="96"/>
      <c r="E191" s="120"/>
      <c r="F191" s="121"/>
      <c r="G191" s="121"/>
      <c r="H191" s="122"/>
      <c r="I191" s="93"/>
      <c r="J191" s="93"/>
      <c r="K191" s="93"/>
    </row>
    <row r="192" spans="4:11" x14ac:dyDescent="0.3">
      <c r="D192" s="96"/>
      <c r="E192" s="120"/>
      <c r="F192" s="121"/>
      <c r="G192" s="121"/>
      <c r="H192" s="122"/>
      <c r="I192" s="93"/>
      <c r="J192" s="93"/>
      <c r="K192" s="93"/>
    </row>
    <row r="193" spans="4:11" x14ac:dyDescent="0.3">
      <c r="D193" s="96"/>
      <c r="E193" s="120"/>
      <c r="F193" s="121"/>
      <c r="G193" s="121"/>
      <c r="H193" s="122"/>
      <c r="I193" s="93"/>
      <c r="J193" s="93"/>
      <c r="K193" s="93"/>
    </row>
    <row r="194" spans="4:11" x14ac:dyDescent="0.3">
      <c r="D194" s="96"/>
      <c r="E194" s="120"/>
      <c r="F194" s="121"/>
      <c r="G194" s="121"/>
      <c r="H194" s="122"/>
      <c r="I194" s="93"/>
      <c r="J194" s="93"/>
      <c r="K194" s="93"/>
    </row>
    <row r="195" spans="4:11" x14ac:dyDescent="0.3">
      <c r="D195" s="96"/>
      <c r="E195" s="120"/>
      <c r="F195" s="121"/>
      <c r="G195" s="121"/>
      <c r="H195" s="122"/>
      <c r="I195" s="93"/>
      <c r="J195" s="93"/>
      <c r="K195" s="93"/>
    </row>
    <row r="196" spans="4:11" x14ac:dyDescent="0.3">
      <c r="D196" s="96"/>
      <c r="E196" s="120"/>
      <c r="F196" s="121"/>
      <c r="G196" s="121"/>
      <c r="H196" s="122"/>
      <c r="I196" s="93"/>
      <c r="J196" s="93"/>
      <c r="K196" s="93"/>
    </row>
    <row r="197" spans="4:11" x14ac:dyDescent="0.3">
      <c r="D197" s="96"/>
      <c r="E197" s="120"/>
      <c r="F197" s="121"/>
      <c r="G197" s="121"/>
      <c r="H197" s="122"/>
      <c r="I197" s="93"/>
      <c r="J197" s="93"/>
      <c r="K197" s="93"/>
    </row>
    <row r="198" spans="4:11" x14ac:dyDescent="0.3">
      <c r="D198" s="96"/>
      <c r="E198" s="120"/>
      <c r="F198" s="121"/>
      <c r="G198" s="121"/>
      <c r="H198" s="122"/>
      <c r="I198" s="93"/>
      <c r="J198" s="93"/>
      <c r="K198" s="93"/>
    </row>
    <row r="199" spans="4:11" x14ac:dyDescent="0.3">
      <c r="D199" s="96"/>
      <c r="E199" s="120"/>
      <c r="F199" s="121"/>
      <c r="G199" s="121"/>
      <c r="H199" s="122"/>
      <c r="I199" s="93"/>
      <c r="J199" s="93"/>
      <c r="K199" s="93"/>
    </row>
    <row r="200" spans="4:11" x14ac:dyDescent="0.3">
      <c r="D200" s="96"/>
      <c r="E200" s="120"/>
      <c r="F200" s="121"/>
      <c r="G200" s="121"/>
      <c r="H200" s="122"/>
      <c r="I200" s="93"/>
      <c r="J200" s="93"/>
      <c r="K200" s="93"/>
    </row>
    <row r="201" spans="4:11" x14ac:dyDescent="0.3">
      <c r="D201" s="96"/>
      <c r="E201" s="120"/>
      <c r="F201" s="121"/>
      <c r="G201" s="121"/>
      <c r="H201" s="122"/>
      <c r="I201" s="93"/>
      <c r="J201" s="93"/>
      <c r="K201" s="93"/>
    </row>
    <row r="202" spans="4:11" x14ac:dyDescent="0.3">
      <c r="D202" s="96"/>
      <c r="E202" s="120"/>
      <c r="F202" s="121"/>
      <c r="G202" s="121"/>
      <c r="H202" s="122"/>
      <c r="I202" s="93"/>
      <c r="J202" s="93"/>
      <c r="K202" s="93"/>
    </row>
    <row r="203" spans="4:11" x14ac:dyDescent="0.3">
      <c r="D203" s="96"/>
      <c r="E203" s="120"/>
      <c r="F203" s="121"/>
      <c r="G203" s="121"/>
      <c r="H203" s="122"/>
      <c r="I203" s="93"/>
      <c r="J203" s="93"/>
      <c r="K203" s="93"/>
    </row>
    <row r="204" spans="4:11" x14ac:dyDescent="0.3">
      <c r="D204" s="96"/>
      <c r="E204" s="120"/>
      <c r="F204" s="121"/>
      <c r="G204" s="121"/>
      <c r="H204" s="122"/>
      <c r="I204" s="93"/>
      <c r="J204" s="93"/>
      <c r="K204" s="93"/>
    </row>
    <row r="205" spans="4:11" x14ac:dyDescent="0.3">
      <c r="D205" s="96"/>
      <c r="E205" s="120"/>
      <c r="F205" s="121"/>
      <c r="G205" s="121"/>
      <c r="H205" s="122"/>
      <c r="I205" s="93"/>
      <c r="J205" s="93"/>
      <c r="K205" s="93"/>
    </row>
    <row r="206" spans="4:11" x14ac:dyDescent="0.3">
      <c r="D206" s="96"/>
      <c r="E206" s="120"/>
      <c r="F206" s="121"/>
      <c r="G206" s="121"/>
      <c r="H206" s="122"/>
      <c r="I206" s="93"/>
      <c r="J206" s="93"/>
      <c r="K206" s="93"/>
    </row>
    <row r="207" spans="4:11" x14ac:dyDescent="0.3">
      <c r="D207" s="96"/>
      <c r="E207" s="120"/>
      <c r="F207" s="121"/>
      <c r="G207" s="121"/>
      <c r="H207" s="122"/>
      <c r="I207" s="93"/>
      <c r="J207" s="93"/>
      <c r="K207" s="93"/>
    </row>
    <row r="208" spans="4:11" x14ac:dyDescent="0.3">
      <c r="D208" s="96"/>
      <c r="E208" s="120"/>
      <c r="F208" s="121"/>
      <c r="G208" s="121"/>
      <c r="H208" s="122"/>
      <c r="I208" s="93"/>
      <c r="J208" s="93"/>
      <c r="K208" s="93"/>
    </row>
    <row r="209" spans="4:11" x14ac:dyDescent="0.3">
      <c r="D209" s="96"/>
      <c r="E209" s="120"/>
      <c r="F209" s="121"/>
      <c r="G209" s="121"/>
      <c r="H209" s="122"/>
      <c r="I209" s="93"/>
      <c r="J209" s="93"/>
      <c r="K209" s="93"/>
    </row>
    <row r="210" spans="4:11" x14ac:dyDescent="0.3">
      <c r="D210" s="96"/>
      <c r="E210" s="120"/>
      <c r="F210" s="121"/>
      <c r="G210" s="121"/>
      <c r="H210" s="122"/>
      <c r="I210" s="93"/>
      <c r="J210" s="93"/>
      <c r="K210" s="93"/>
    </row>
    <row r="211" spans="4:11" x14ac:dyDescent="0.3">
      <c r="D211" s="96"/>
      <c r="E211" s="120"/>
      <c r="F211" s="121"/>
      <c r="G211" s="121"/>
      <c r="H211" s="122"/>
      <c r="I211" s="93"/>
      <c r="J211" s="93"/>
      <c r="K211" s="93"/>
    </row>
    <row r="212" spans="4:11" x14ac:dyDescent="0.3">
      <c r="D212" s="96"/>
      <c r="E212" s="120"/>
      <c r="F212" s="121"/>
      <c r="G212" s="121"/>
      <c r="H212" s="122"/>
      <c r="I212" s="93"/>
      <c r="J212" s="93"/>
      <c r="K212" s="93"/>
    </row>
    <row r="213" spans="4:11" x14ac:dyDescent="0.3">
      <c r="D213" s="96"/>
      <c r="E213" s="120"/>
      <c r="F213" s="121"/>
      <c r="G213" s="121"/>
      <c r="H213" s="122"/>
      <c r="I213" s="93"/>
      <c r="J213" s="93"/>
      <c r="K213" s="93"/>
    </row>
    <row r="214" spans="4:11" x14ac:dyDescent="0.3">
      <c r="D214" s="96"/>
      <c r="E214" s="120"/>
      <c r="F214" s="121"/>
      <c r="G214" s="121"/>
      <c r="H214" s="122"/>
      <c r="I214" s="93"/>
      <c r="J214" s="93"/>
      <c r="K214" s="93"/>
    </row>
    <row r="215" spans="4:11" x14ac:dyDescent="0.3">
      <c r="D215" s="96"/>
      <c r="E215" s="120"/>
      <c r="F215" s="121"/>
      <c r="G215" s="121"/>
      <c r="H215" s="122"/>
      <c r="I215" s="93"/>
      <c r="J215" s="93"/>
      <c r="K215" s="93"/>
    </row>
    <row r="216" spans="4:11" x14ac:dyDescent="0.3">
      <c r="D216" s="96"/>
      <c r="E216" s="120"/>
      <c r="F216" s="121"/>
      <c r="G216" s="121"/>
      <c r="H216" s="122"/>
      <c r="I216" s="93"/>
      <c r="J216" s="93"/>
      <c r="K216" s="93"/>
    </row>
    <row r="217" spans="4:11" x14ac:dyDescent="0.3">
      <c r="D217" s="125"/>
      <c r="E217" s="125"/>
      <c r="F217" s="125"/>
      <c r="G217" s="125"/>
      <c r="H217" s="125"/>
      <c r="I217" s="118"/>
      <c r="J217" s="118"/>
      <c r="K217" s="118"/>
    </row>
    <row r="218" spans="4:11" x14ac:dyDescent="0.3">
      <c r="D218" s="96"/>
      <c r="E218" s="120"/>
      <c r="F218" s="121"/>
      <c r="G218" s="121"/>
      <c r="H218" s="122"/>
      <c r="I218" s="119"/>
      <c r="J218" s="93"/>
      <c r="K218" s="93"/>
    </row>
    <row r="219" spans="4:11" x14ac:dyDescent="0.3">
      <c r="D219" s="96"/>
      <c r="E219" s="120"/>
      <c r="F219" s="121"/>
      <c r="G219" s="121"/>
      <c r="H219" s="122"/>
      <c r="I219" s="119"/>
      <c r="J219" s="93"/>
      <c r="K219" s="93"/>
    </row>
    <row r="220" spans="4:11" x14ac:dyDescent="0.3">
      <c r="D220" s="96"/>
      <c r="E220" s="120"/>
      <c r="F220" s="121"/>
      <c r="G220" s="121"/>
      <c r="H220" s="122"/>
      <c r="I220" s="119"/>
      <c r="J220" s="93"/>
      <c r="K220" s="93"/>
    </row>
    <row r="221" spans="4:11" x14ac:dyDescent="0.3">
      <c r="D221" s="96"/>
      <c r="E221" s="120"/>
      <c r="F221" s="121"/>
      <c r="G221" s="121"/>
      <c r="H221" s="122"/>
      <c r="I221" s="119"/>
      <c r="J221" s="93"/>
      <c r="K221" s="93"/>
    </row>
    <row r="222" spans="4:11" x14ac:dyDescent="0.3">
      <c r="D222" s="96"/>
      <c r="E222" s="120"/>
      <c r="F222" s="121"/>
      <c r="G222" s="121"/>
      <c r="H222" s="122"/>
      <c r="I222" s="119"/>
      <c r="J222" s="93"/>
      <c r="K222" s="93"/>
    </row>
    <row r="223" spans="4:11" x14ac:dyDescent="0.3">
      <c r="D223" s="96"/>
      <c r="E223" s="123"/>
      <c r="F223" s="121"/>
      <c r="G223" s="121"/>
      <c r="H223" s="122"/>
      <c r="I223" s="119"/>
      <c r="J223" s="93"/>
      <c r="K223" s="93"/>
    </row>
    <row r="224" spans="4:11" x14ac:dyDescent="0.3">
      <c r="D224" s="96"/>
      <c r="E224" s="120"/>
      <c r="F224" s="121"/>
      <c r="G224" s="121"/>
      <c r="H224" s="122"/>
      <c r="I224" s="119"/>
      <c r="J224" s="93"/>
      <c r="K224" s="93"/>
    </row>
    <row r="225" spans="4:11" x14ac:dyDescent="0.3">
      <c r="D225" s="96"/>
      <c r="E225" s="120"/>
      <c r="F225" s="121"/>
      <c r="G225" s="121"/>
      <c r="H225" s="122"/>
      <c r="I225" s="119"/>
      <c r="J225" s="93"/>
      <c r="K225" s="93"/>
    </row>
    <row r="226" spans="4:11" x14ac:dyDescent="0.3">
      <c r="D226" s="96"/>
      <c r="E226" s="120"/>
      <c r="F226" s="121"/>
      <c r="G226" s="121"/>
      <c r="H226" s="122"/>
      <c r="I226" s="119"/>
      <c r="J226" s="93"/>
      <c r="K226" s="93"/>
    </row>
    <row r="227" spans="4:11" x14ac:dyDescent="0.3">
      <c r="D227" s="96"/>
      <c r="E227" s="120"/>
      <c r="F227" s="121"/>
      <c r="G227" s="121"/>
      <c r="H227" s="122"/>
      <c r="I227" s="119"/>
      <c r="J227" s="93"/>
      <c r="K227" s="93"/>
    </row>
    <row r="228" spans="4:11" x14ac:dyDescent="0.3">
      <c r="D228" s="96"/>
      <c r="E228" s="120"/>
      <c r="F228" s="121"/>
      <c r="G228" s="121"/>
      <c r="H228" s="122"/>
      <c r="I228" s="119"/>
      <c r="J228" s="93"/>
      <c r="K228" s="93"/>
    </row>
    <row r="229" spans="4:11" x14ac:dyDescent="0.3">
      <c r="D229" s="96"/>
      <c r="E229" s="120"/>
      <c r="F229" s="121"/>
      <c r="G229" s="121"/>
      <c r="H229" s="122"/>
      <c r="I229" s="119"/>
      <c r="J229" s="93"/>
      <c r="K229" s="93"/>
    </row>
    <row r="230" spans="4:11" x14ac:dyDescent="0.3">
      <c r="D230" s="96"/>
      <c r="E230" s="120"/>
      <c r="F230" s="121"/>
      <c r="G230" s="121"/>
      <c r="H230" s="122"/>
      <c r="I230" s="119"/>
      <c r="J230" s="93"/>
      <c r="K230" s="93"/>
    </row>
    <row r="231" spans="4:11" x14ac:dyDescent="0.3">
      <c r="D231" s="96"/>
      <c r="E231" s="120"/>
      <c r="F231" s="121"/>
      <c r="G231" s="121"/>
      <c r="H231" s="122"/>
      <c r="I231" s="119"/>
      <c r="J231" s="93"/>
      <c r="K231" s="93"/>
    </row>
    <row r="232" spans="4:11" x14ac:dyDescent="0.3">
      <c r="D232" s="96"/>
      <c r="E232" s="120"/>
      <c r="F232" s="121"/>
      <c r="G232" s="121"/>
      <c r="H232" s="122"/>
      <c r="I232" s="119"/>
      <c r="J232" s="93"/>
      <c r="K232" s="93"/>
    </row>
    <row r="233" spans="4:11" x14ac:dyDescent="0.3">
      <c r="D233" s="96"/>
      <c r="E233" s="120"/>
      <c r="F233" s="121"/>
      <c r="G233" s="121"/>
      <c r="H233" s="122"/>
      <c r="I233" s="119"/>
      <c r="J233" s="93"/>
      <c r="K233" s="93"/>
    </row>
    <row r="234" spans="4:11" x14ac:dyDescent="0.3">
      <c r="D234" s="96"/>
      <c r="E234" s="120"/>
      <c r="F234" s="121"/>
      <c r="G234" s="121"/>
      <c r="H234" s="122"/>
      <c r="I234" s="119"/>
      <c r="J234" s="93"/>
      <c r="K234" s="93"/>
    </row>
    <row r="235" spans="4:11" x14ac:dyDescent="0.3">
      <c r="D235" s="96"/>
      <c r="E235" s="120"/>
      <c r="F235" s="121"/>
      <c r="G235" s="121"/>
      <c r="H235" s="122"/>
      <c r="I235" s="119"/>
      <c r="J235" s="93"/>
      <c r="K235" s="93"/>
    </row>
    <row r="236" spans="4:11" x14ac:dyDescent="0.3">
      <c r="D236" s="96"/>
      <c r="E236" s="120"/>
      <c r="F236" s="121"/>
      <c r="G236" s="121"/>
      <c r="H236" s="122"/>
      <c r="I236" s="119"/>
      <c r="J236" s="93"/>
      <c r="K236" s="93"/>
    </row>
    <row r="237" spans="4:11" x14ac:dyDescent="0.3">
      <c r="D237" s="96"/>
      <c r="E237" s="120"/>
      <c r="F237" s="121"/>
      <c r="G237" s="121"/>
      <c r="H237" s="122"/>
      <c r="I237" s="119"/>
      <c r="J237" s="93"/>
      <c r="K237" s="93"/>
    </row>
    <row r="238" spans="4:11" x14ac:dyDescent="0.3">
      <c r="D238" s="96"/>
      <c r="E238" s="120"/>
      <c r="F238" s="121"/>
      <c r="G238" s="121"/>
      <c r="H238" s="122"/>
      <c r="I238" s="119"/>
      <c r="J238" s="93"/>
      <c r="K238" s="93"/>
    </row>
    <row r="239" spans="4:11" x14ac:dyDescent="0.3">
      <c r="D239" s="96"/>
      <c r="E239" s="120"/>
      <c r="F239" s="121"/>
      <c r="G239" s="121"/>
      <c r="H239" s="122"/>
      <c r="I239" s="119"/>
      <c r="J239" s="93"/>
      <c r="K239" s="93"/>
    </row>
    <row r="240" spans="4:11" x14ac:dyDescent="0.3">
      <c r="D240" s="96"/>
      <c r="E240" s="120"/>
      <c r="F240" s="121"/>
      <c r="G240" s="121"/>
      <c r="H240" s="122"/>
      <c r="I240" s="119"/>
      <c r="J240" s="93"/>
      <c r="K240" s="93"/>
    </row>
    <row r="241" spans="4:11" x14ac:dyDescent="0.3">
      <c r="D241" s="96"/>
      <c r="E241" s="120"/>
      <c r="F241" s="121"/>
      <c r="G241" s="121"/>
      <c r="H241" s="122"/>
      <c r="I241" s="119"/>
      <c r="J241" s="93"/>
      <c r="K241" s="93"/>
    </row>
    <row r="242" spans="4:11" x14ac:dyDescent="0.3">
      <c r="D242" s="96"/>
      <c r="E242" s="120"/>
      <c r="F242" s="121"/>
      <c r="G242" s="121"/>
      <c r="H242" s="122"/>
      <c r="I242" s="119"/>
      <c r="J242" s="93"/>
      <c r="K242" s="93"/>
    </row>
    <row r="243" spans="4:11" x14ac:dyDescent="0.3">
      <c r="D243" s="96"/>
      <c r="E243" s="120"/>
      <c r="F243" s="121"/>
      <c r="G243" s="121"/>
      <c r="H243" s="122"/>
      <c r="I243" s="119"/>
      <c r="J243" s="93"/>
      <c r="K243" s="93"/>
    </row>
    <row r="244" spans="4:11" x14ac:dyDescent="0.3">
      <c r="D244" s="96"/>
      <c r="E244" s="120"/>
      <c r="F244" s="121"/>
      <c r="G244" s="121"/>
      <c r="H244" s="122"/>
      <c r="I244" s="119"/>
      <c r="J244" s="93"/>
      <c r="K244" s="93"/>
    </row>
    <row r="245" spans="4:11" x14ac:dyDescent="0.3">
      <c r="D245" s="96"/>
      <c r="E245" s="120"/>
      <c r="F245" s="121"/>
      <c r="G245" s="121"/>
      <c r="H245" s="122"/>
      <c r="I245" s="119"/>
      <c r="J245" s="93"/>
      <c r="K245" s="93"/>
    </row>
    <row r="246" spans="4:11" x14ac:dyDescent="0.3">
      <c r="D246" s="96"/>
      <c r="E246" s="120"/>
      <c r="F246" s="121"/>
      <c r="G246" s="121"/>
      <c r="H246" s="122"/>
      <c r="I246" s="119"/>
      <c r="J246" s="93"/>
      <c r="K246" s="93"/>
    </row>
    <row r="247" spans="4:11" x14ac:dyDescent="0.3">
      <c r="D247" s="96"/>
      <c r="E247" s="120"/>
      <c r="F247" s="121"/>
      <c r="G247" s="121"/>
      <c r="H247" s="122"/>
      <c r="I247" s="119"/>
      <c r="J247" s="93"/>
      <c r="K247" s="93"/>
    </row>
    <row r="248" spans="4:11" x14ac:dyDescent="0.3">
      <c r="D248" s="96"/>
      <c r="E248" s="120"/>
      <c r="F248" s="121"/>
      <c r="G248" s="121"/>
      <c r="H248" s="122"/>
      <c r="I248" s="119"/>
      <c r="J248" s="93"/>
      <c r="K248" s="93"/>
    </row>
    <row r="249" spans="4:11" x14ac:dyDescent="0.3">
      <c r="D249" s="96"/>
      <c r="E249" s="120"/>
      <c r="F249" s="121"/>
      <c r="G249" s="121"/>
      <c r="H249" s="122"/>
      <c r="I249" s="119"/>
      <c r="J249" s="93"/>
      <c r="K249" s="93"/>
    </row>
    <row r="250" spans="4:11" x14ac:dyDescent="0.3">
      <c r="D250" s="96"/>
      <c r="E250" s="120"/>
      <c r="F250" s="121"/>
      <c r="G250" s="121"/>
      <c r="H250" s="122"/>
      <c r="I250" s="118"/>
      <c r="J250" s="93"/>
      <c r="K250" s="93"/>
    </row>
    <row r="251" spans="4:11" x14ac:dyDescent="0.3">
      <c r="D251" s="96"/>
      <c r="E251" s="120"/>
      <c r="F251" s="121"/>
      <c r="G251" s="121"/>
      <c r="H251" s="122"/>
      <c r="I251" s="118"/>
      <c r="J251" s="93"/>
      <c r="K251" s="93"/>
    </row>
    <row r="252" spans="4:11" x14ac:dyDescent="0.3">
      <c r="D252" s="96"/>
      <c r="E252" s="120"/>
      <c r="F252" s="121"/>
      <c r="G252" s="121"/>
      <c r="H252" s="122"/>
      <c r="I252" s="118"/>
      <c r="J252" s="93"/>
      <c r="K252" s="93"/>
    </row>
    <row r="253" spans="4:11" x14ac:dyDescent="0.3">
      <c r="D253" s="96"/>
      <c r="E253" s="120"/>
      <c r="F253" s="121"/>
      <c r="G253" s="121"/>
      <c r="H253" s="122"/>
      <c r="I253" s="118"/>
      <c r="J253" s="93"/>
      <c r="K253" s="93"/>
    </row>
    <row r="254" spans="4:11" x14ac:dyDescent="0.3">
      <c r="D254" s="96"/>
      <c r="E254" s="120"/>
      <c r="F254" s="121"/>
      <c r="G254" s="121"/>
      <c r="H254" s="122"/>
      <c r="I254" s="93"/>
      <c r="J254" s="93"/>
      <c r="K254" s="93"/>
    </row>
    <row r="255" spans="4:11" x14ac:dyDescent="0.3">
      <c r="D255" s="96"/>
      <c r="E255" s="120"/>
      <c r="F255" s="121"/>
      <c r="G255" s="121"/>
      <c r="H255" s="122"/>
      <c r="I255" s="93"/>
      <c r="J255" s="93"/>
      <c r="K255" s="93"/>
    </row>
    <row r="256" spans="4:11" x14ac:dyDescent="0.3">
      <c r="D256" s="96"/>
      <c r="E256" s="120"/>
      <c r="F256" s="121"/>
      <c r="G256" s="121"/>
      <c r="H256" s="122"/>
      <c r="I256" s="93"/>
      <c r="J256" s="93"/>
      <c r="K256" s="93"/>
    </row>
    <row r="257" spans="4:28" x14ac:dyDescent="0.3">
      <c r="D257" s="96"/>
      <c r="E257" s="120"/>
      <c r="F257" s="121"/>
      <c r="G257" s="121"/>
      <c r="H257" s="122"/>
      <c r="I257" s="93"/>
      <c r="J257" s="93"/>
      <c r="K257" s="93"/>
    </row>
    <row r="258" spans="4:28" x14ac:dyDescent="0.3">
      <c r="D258" s="96"/>
      <c r="E258" s="120"/>
      <c r="F258" s="121"/>
      <c r="G258" s="121"/>
      <c r="H258" s="122"/>
      <c r="I258" s="93"/>
      <c r="J258" s="93"/>
      <c r="K258" s="93"/>
    </row>
    <row r="259" spans="4:28" x14ac:dyDescent="0.3">
      <c r="D259" s="72"/>
      <c r="E259" s="127"/>
      <c r="F259" s="127"/>
      <c r="G259" s="12"/>
      <c r="H259" s="12"/>
    </row>
    <row r="260" spans="4:28" x14ac:dyDescent="0.3">
      <c r="D260" s="114"/>
      <c r="E260" s="114"/>
      <c r="F260" s="121"/>
      <c r="G260" s="121"/>
      <c r="H260" s="121"/>
      <c r="I260" s="121"/>
      <c r="J260" s="97"/>
      <c r="K260" s="97"/>
      <c r="L260" s="97"/>
      <c r="M260" s="97"/>
      <c r="N260" s="97"/>
      <c r="O260" s="97"/>
      <c r="P260" s="97"/>
      <c r="Q260" s="97"/>
    </row>
    <row r="261" spans="4:28" x14ac:dyDescent="0.3">
      <c r="D261" s="114"/>
      <c r="E261" s="114"/>
      <c r="F261" s="121"/>
      <c r="G261" s="121"/>
      <c r="H261" s="121"/>
      <c r="I261" s="121"/>
      <c r="J261" s="97"/>
      <c r="K261" s="97"/>
      <c r="L261" s="97"/>
      <c r="M261" s="97"/>
      <c r="N261" s="97"/>
      <c r="O261" s="97"/>
      <c r="P261" s="97"/>
      <c r="Q261" s="97"/>
    </row>
    <row r="262" spans="4:28" x14ac:dyDescent="0.3">
      <c r="D262" s="114"/>
      <c r="E262" s="114"/>
      <c r="F262" s="122"/>
      <c r="G262" s="122"/>
      <c r="H262" s="122"/>
      <c r="I262" s="122"/>
      <c r="J262" s="97"/>
      <c r="K262" s="97"/>
      <c r="L262" s="97"/>
      <c r="M262" s="97"/>
      <c r="N262" s="97"/>
      <c r="O262" s="97"/>
      <c r="P262" s="97"/>
      <c r="Q262" s="97"/>
    </row>
    <row r="263" spans="4:28" x14ac:dyDescent="0.3">
      <c r="D263" s="114"/>
      <c r="E263" s="114"/>
      <c r="F263" s="121"/>
      <c r="G263" s="121"/>
      <c r="H263" s="121"/>
      <c r="I263" s="121"/>
      <c r="J263" s="97"/>
      <c r="K263" s="97"/>
      <c r="L263" s="97"/>
      <c r="M263" s="97"/>
      <c r="N263" s="97"/>
      <c r="O263" s="97"/>
      <c r="P263" s="97"/>
      <c r="Q263" s="97"/>
    </row>
    <row r="264" spans="4:28" x14ac:dyDescent="0.3">
      <c r="D264" s="114"/>
      <c r="E264" s="114"/>
      <c r="F264" s="121"/>
      <c r="G264" s="121"/>
      <c r="H264" s="121"/>
      <c r="I264" s="121"/>
      <c r="J264" s="97"/>
      <c r="K264" s="97"/>
      <c r="L264" s="97"/>
      <c r="M264" s="97"/>
      <c r="N264" s="97"/>
      <c r="O264" s="97"/>
      <c r="P264" s="97"/>
      <c r="Q264" s="97"/>
    </row>
    <row r="265" spans="4:28" x14ac:dyDescent="0.3">
      <c r="D265" s="97"/>
      <c r="E265" s="114"/>
      <c r="F265" s="121"/>
      <c r="G265" s="126"/>
      <c r="H265" s="122"/>
      <c r="I265" s="122"/>
      <c r="J265" s="97"/>
      <c r="K265" s="97"/>
      <c r="L265" s="97"/>
      <c r="M265" s="97"/>
      <c r="N265" s="97"/>
      <c r="O265" s="97"/>
      <c r="P265" s="97"/>
      <c r="Q265" s="97"/>
    </row>
    <row r="266" spans="4:28" x14ac:dyDescent="0.3">
      <c r="D266" s="96"/>
      <c r="E266" s="122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4:28" x14ac:dyDescent="0.3">
      <c r="D267" s="114"/>
      <c r="E267" s="114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</row>
    <row r="268" spans="4:28" x14ac:dyDescent="0.3">
      <c r="D268" s="114"/>
      <c r="E268" s="97"/>
      <c r="F268" s="122"/>
      <c r="G268" s="122"/>
      <c r="H268" s="122"/>
      <c r="I268" s="122"/>
      <c r="J268" s="94"/>
      <c r="K268" s="94"/>
      <c r="L268" s="94"/>
      <c r="M268" s="94"/>
      <c r="N268" s="94"/>
      <c r="O268" s="94"/>
      <c r="P268" s="94"/>
      <c r="Q268" s="94"/>
    </row>
    <row r="269" spans="4:28" x14ac:dyDescent="0.3">
      <c r="D269" s="97"/>
      <c r="E269" s="97"/>
      <c r="F269" s="97"/>
      <c r="G269" s="97"/>
      <c r="H269" s="97"/>
      <c r="I269" s="97"/>
      <c r="J269" s="113"/>
      <c r="K269" s="113"/>
      <c r="L269" s="113"/>
      <c r="M269" s="113"/>
      <c r="N269" s="113"/>
      <c r="O269" s="113"/>
      <c r="P269" s="113"/>
      <c r="Q269" s="113"/>
    </row>
    <row r="270" spans="4:28" x14ac:dyDescent="0.3"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</row>
    <row r="271" spans="4:28" x14ac:dyDescent="0.3">
      <c r="D271" s="4"/>
      <c r="E271" s="4"/>
      <c r="F271" s="111"/>
      <c r="G271" s="111"/>
      <c r="H271" s="111"/>
      <c r="I271" s="111"/>
      <c r="J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</row>
    <row r="272" spans="4:28" x14ac:dyDescent="0.3">
      <c r="D272" s="6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</sheetData>
  <phoneticPr fontId="8" type="noConversion"/>
  <pageMargins left="0.7" right="0.7" top="0.75" bottom="0.75" header="0.3" footer="0.3"/>
  <pageSetup scale="4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2CDD6-FD37-42EB-BB72-CD5A3C275135}">
  <dimension ref="B2:I46"/>
  <sheetViews>
    <sheetView showGridLines="0" zoomScale="80" zoomScaleNormal="80" workbookViewId="0">
      <selection activeCell="K27" sqref="K27"/>
    </sheetView>
  </sheetViews>
  <sheetFormatPr defaultRowHeight="14.4" x14ac:dyDescent="0.3"/>
  <cols>
    <col min="4" max="4" width="25" customWidth="1"/>
    <col min="6" max="6" width="13.6640625" customWidth="1"/>
    <col min="7" max="8" width="9.109375" hidden="1" customWidth="1"/>
    <col min="9" max="9" width="22.5546875" customWidth="1"/>
  </cols>
  <sheetData>
    <row r="2" spans="2:9" ht="23.4" x14ac:dyDescent="0.45">
      <c r="B2" s="146" t="s">
        <v>109</v>
      </c>
      <c r="I2" s="2"/>
    </row>
    <row r="3" spans="2:9" ht="18" x14ac:dyDescent="0.35">
      <c r="B3" s="6" t="str">
        <f>'Dashboard Control'!B3</f>
        <v>Lake Bluff Campground</v>
      </c>
      <c r="F3" s="222"/>
      <c r="G3" s="222"/>
      <c r="H3" s="222"/>
      <c r="I3" s="156"/>
    </row>
    <row r="4" spans="2:9" x14ac:dyDescent="0.3">
      <c r="F4" s="17" t="s">
        <v>1</v>
      </c>
      <c r="G4" s="17" t="s">
        <v>2</v>
      </c>
      <c r="H4" s="179" t="s">
        <v>3</v>
      </c>
      <c r="I4" s="117" t="s">
        <v>110</v>
      </c>
    </row>
    <row r="5" spans="2:9" x14ac:dyDescent="0.3">
      <c r="B5" s="277" t="s">
        <v>232</v>
      </c>
      <c r="C5" s="277"/>
      <c r="D5" s="277"/>
      <c r="E5" s="2"/>
      <c r="F5" s="26"/>
      <c r="G5" s="28"/>
      <c r="H5" s="28"/>
      <c r="I5" s="226">
        <f>SUM(I6:I7)</f>
        <v>2698250</v>
      </c>
    </row>
    <row r="6" spans="2:9" x14ac:dyDescent="0.3">
      <c r="B6" s="278" t="s">
        <v>233</v>
      </c>
      <c r="C6" s="278"/>
      <c r="D6" s="221">
        <f>Amorization!E10</f>
        <v>0.7</v>
      </c>
      <c r="F6" s="12">
        <f>'Dashboard Control'!N17</f>
        <v>1715000</v>
      </c>
      <c r="G6" s="27"/>
      <c r="H6" s="58"/>
      <c r="I6" s="42">
        <f t="shared" ref="I6:I17" si="0">SUM(F6:H6)</f>
        <v>1715000</v>
      </c>
    </row>
    <row r="7" spans="2:9" x14ac:dyDescent="0.3">
      <c r="B7" s="250" t="s">
        <v>234</v>
      </c>
      <c r="C7" s="250"/>
      <c r="D7" s="250"/>
      <c r="F7" s="12">
        <f>'Dashboard Control'!N18</f>
        <v>983250</v>
      </c>
      <c r="G7" s="27"/>
      <c r="H7" s="58"/>
      <c r="I7" s="42">
        <f t="shared" si="0"/>
        <v>983250</v>
      </c>
    </row>
    <row r="8" spans="2:9" x14ac:dyDescent="0.3">
      <c r="B8" s="271"/>
      <c r="C8" s="271"/>
      <c r="D8" s="271"/>
      <c r="F8" s="12"/>
      <c r="G8" s="27"/>
      <c r="H8" s="58"/>
      <c r="I8" s="42"/>
    </row>
    <row r="9" spans="2:9" x14ac:dyDescent="0.3">
      <c r="B9" s="277" t="s">
        <v>236</v>
      </c>
      <c r="C9" s="277"/>
      <c r="D9" s="277"/>
      <c r="E9" s="2"/>
      <c r="F9" s="26"/>
      <c r="G9" s="28"/>
      <c r="H9" s="28"/>
      <c r="I9" s="226">
        <f>I21+I36</f>
        <v>2698250</v>
      </c>
    </row>
    <row r="10" spans="2:9" x14ac:dyDescent="0.3">
      <c r="B10" s="220" t="s">
        <v>112</v>
      </c>
      <c r="C10" s="20"/>
      <c r="D10" s="20"/>
      <c r="F10" s="12"/>
      <c r="G10" s="27"/>
      <c r="H10" s="58"/>
      <c r="I10" s="42">
        <f>'Dashboard Control'!N24</f>
        <v>2300000</v>
      </c>
    </row>
    <row r="11" spans="2:9" x14ac:dyDescent="0.3">
      <c r="B11" s="20"/>
      <c r="C11" s="20"/>
      <c r="D11" s="20"/>
      <c r="F11" s="12"/>
      <c r="G11" s="27"/>
      <c r="H11" s="58"/>
      <c r="I11" s="42"/>
    </row>
    <row r="12" spans="2:9" x14ac:dyDescent="0.3">
      <c r="B12" s="275" t="s">
        <v>113</v>
      </c>
      <c r="C12" s="275"/>
      <c r="D12" s="275"/>
      <c r="F12" s="12"/>
      <c r="G12" s="27"/>
      <c r="H12" s="58"/>
      <c r="I12" s="42"/>
    </row>
    <row r="13" spans="2:9" x14ac:dyDescent="0.3">
      <c r="B13" s="279" t="s">
        <v>231</v>
      </c>
      <c r="C13" s="279"/>
      <c r="D13" s="279"/>
      <c r="F13" s="108">
        <v>125000</v>
      </c>
      <c r="G13" s="27"/>
      <c r="H13" s="58"/>
      <c r="I13" s="42">
        <f t="shared" si="0"/>
        <v>125000</v>
      </c>
    </row>
    <row r="14" spans="2:9" hidden="1" x14ac:dyDescent="0.3">
      <c r="B14" s="267"/>
      <c r="C14" s="267"/>
      <c r="D14" s="267"/>
      <c r="F14" s="108"/>
      <c r="G14" s="27"/>
      <c r="H14" s="58"/>
      <c r="I14" s="42">
        <f>SUM(F14:H14)</f>
        <v>0</v>
      </c>
    </row>
    <row r="15" spans="2:9" hidden="1" x14ac:dyDescent="0.3">
      <c r="B15" s="280"/>
      <c r="C15" s="280"/>
      <c r="D15" s="280"/>
      <c r="F15" s="108"/>
      <c r="G15" s="27"/>
      <c r="H15" s="58"/>
      <c r="I15" s="42">
        <f>SUM(F15:H15)</f>
        <v>0</v>
      </c>
    </row>
    <row r="16" spans="2:9" hidden="1" x14ac:dyDescent="0.3">
      <c r="B16" s="281"/>
      <c r="C16" s="281"/>
      <c r="D16" s="281"/>
      <c r="F16" s="108"/>
      <c r="G16" s="27"/>
      <c r="H16" s="58"/>
      <c r="I16" s="42">
        <f t="shared" si="0"/>
        <v>0</v>
      </c>
    </row>
    <row r="17" spans="2:9" x14ac:dyDescent="0.3">
      <c r="B17" s="250" t="s">
        <v>114</v>
      </c>
      <c r="C17" s="250"/>
      <c r="D17" s="250"/>
      <c r="E17" s="61"/>
      <c r="F17" s="109">
        <v>25000</v>
      </c>
      <c r="G17" s="58"/>
      <c r="H17" s="58"/>
      <c r="I17" s="42">
        <f t="shared" si="0"/>
        <v>25000</v>
      </c>
    </row>
    <row r="18" spans="2:9" x14ac:dyDescent="0.3">
      <c r="B18" s="74"/>
      <c r="C18" s="74"/>
      <c r="D18" s="74"/>
      <c r="F18" s="26"/>
      <c r="G18" s="28"/>
      <c r="H18" s="28"/>
      <c r="I18" s="42"/>
    </row>
    <row r="19" spans="2:9" x14ac:dyDescent="0.3">
      <c r="B19" s="254" t="s">
        <v>115</v>
      </c>
      <c r="C19" s="254"/>
      <c r="D19" s="254"/>
      <c r="F19" s="12">
        <f>SUM(F13:F18)</f>
        <v>150000</v>
      </c>
      <c r="G19" s="12">
        <f t="shared" ref="G19:H19" si="1">SUM(G6:G17)</f>
        <v>0</v>
      </c>
      <c r="H19" s="223">
        <f t="shared" si="1"/>
        <v>0</v>
      </c>
      <c r="I19" s="224">
        <f>SUM(I13:I17)</f>
        <v>150000</v>
      </c>
    </row>
    <row r="20" spans="2:9" ht="15" thickBot="1" x14ac:dyDescent="0.35">
      <c r="B20" s="70"/>
      <c r="C20" s="70"/>
      <c r="D20" s="70"/>
      <c r="F20" s="66"/>
      <c r="G20" s="66"/>
      <c r="H20" s="66"/>
      <c r="I20" s="66"/>
    </row>
    <row r="21" spans="2:9" x14ac:dyDescent="0.3">
      <c r="B21" s="254" t="s">
        <v>235</v>
      </c>
      <c r="C21" s="254"/>
      <c r="D21" s="254"/>
      <c r="F21" s="12">
        <f>SUM(F7+F19)</f>
        <v>1133250</v>
      </c>
      <c r="G21" s="12">
        <f t="shared" ref="G21:H21" si="2">SUM(G7+G19)</f>
        <v>0</v>
      </c>
      <c r="H21" s="225">
        <f t="shared" si="2"/>
        <v>0</v>
      </c>
      <c r="I21" s="223">
        <f>SUM(I10+I19)</f>
        <v>2450000</v>
      </c>
    </row>
    <row r="22" spans="2:9" x14ac:dyDescent="0.3">
      <c r="B22" s="271"/>
      <c r="C22" s="271"/>
      <c r="D22" s="271"/>
      <c r="F22" s="12"/>
      <c r="G22" s="27"/>
      <c r="H22" s="58"/>
      <c r="I22" s="4"/>
    </row>
    <row r="23" spans="2:9" x14ac:dyDescent="0.3">
      <c r="B23" s="254" t="s">
        <v>111</v>
      </c>
      <c r="C23" s="254"/>
      <c r="D23" s="254"/>
      <c r="F23" s="12"/>
      <c r="G23" s="27"/>
      <c r="H23" s="58"/>
      <c r="I23" s="4"/>
    </row>
    <row r="24" spans="2:9" x14ac:dyDescent="0.3">
      <c r="B24" s="173" t="str">
        <f>'Dashboard Control'!J27</f>
        <v>Bank Points</v>
      </c>
      <c r="C24" s="173"/>
      <c r="D24" s="173"/>
      <c r="F24" s="12">
        <f>'Dashboard Control'!N27</f>
        <v>17150</v>
      </c>
      <c r="G24" s="27"/>
      <c r="H24" s="58"/>
      <c r="I24" s="42">
        <f t="shared" ref="I24:I33" si="3">SUM(F24:H24)</f>
        <v>17150</v>
      </c>
    </row>
    <row r="25" spans="2:9" x14ac:dyDescent="0.3">
      <c r="B25" s="173" t="str">
        <f>'Dashboard Control'!J28</f>
        <v>Attorney Fees</v>
      </c>
      <c r="C25" s="173"/>
      <c r="D25" s="173"/>
      <c r="F25" s="12">
        <f>'Dashboard Control'!N28</f>
        <v>25000</v>
      </c>
      <c r="G25" s="27"/>
      <c r="H25" s="58"/>
      <c r="I25" s="42">
        <f t="shared" si="3"/>
        <v>25000</v>
      </c>
    </row>
    <row r="26" spans="2:9" x14ac:dyDescent="0.3">
      <c r="B26" s="173" t="str">
        <f>'Dashboard Control'!J29</f>
        <v>Survey</v>
      </c>
      <c r="C26" s="173"/>
      <c r="D26" s="173"/>
      <c r="F26" s="12">
        <f>'Dashboard Control'!N29</f>
        <v>10000</v>
      </c>
      <c r="G26" s="27"/>
      <c r="H26" s="58"/>
      <c r="I26" s="42">
        <f t="shared" si="3"/>
        <v>10000</v>
      </c>
    </row>
    <row r="27" spans="2:9" x14ac:dyDescent="0.3">
      <c r="B27" s="173" t="str">
        <f>'Dashboard Control'!J30</f>
        <v xml:space="preserve">Title Insurance </v>
      </c>
      <c r="C27" s="173"/>
      <c r="D27" s="173"/>
      <c r="F27" s="12">
        <f>'Dashboard Control'!N30</f>
        <v>15000</v>
      </c>
      <c r="G27" s="27"/>
      <c r="H27" s="58"/>
      <c r="I27" s="42">
        <f t="shared" si="3"/>
        <v>15000</v>
      </c>
    </row>
    <row r="28" spans="2:9" x14ac:dyDescent="0.3">
      <c r="B28" s="173" t="str">
        <f>'Dashboard Control'!J31</f>
        <v>Mortage Tax</v>
      </c>
      <c r="C28" s="173"/>
      <c r="D28" s="173"/>
      <c r="F28" s="12">
        <f>'Dashboard Control'!N31</f>
        <v>10000</v>
      </c>
      <c r="G28" s="27"/>
      <c r="H28" s="58"/>
      <c r="I28" s="42">
        <f t="shared" si="3"/>
        <v>10000</v>
      </c>
    </row>
    <row r="29" spans="2:9" x14ac:dyDescent="0.3">
      <c r="B29" s="173" t="str">
        <f>'Dashboard Control'!J32</f>
        <v>Bank Fees</v>
      </c>
      <c r="C29" s="173"/>
      <c r="D29" s="173"/>
      <c r="F29" s="12">
        <f>'Dashboard Control'!N32</f>
        <v>5000</v>
      </c>
      <c r="G29" s="27"/>
      <c r="H29" s="58"/>
      <c r="I29" s="42">
        <f t="shared" si="3"/>
        <v>5000</v>
      </c>
    </row>
    <row r="30" spans="2:9" x14ac:dyDescent="0.3">
      <c r="B30" s="250" t="str">
        <f>'Dashboard Control'!J33</f>
        <v>Permits, Fees, NYS Transfer</v>
      </c>
      <c r="C30" s="250"/>
      <c r="D30" s="250"/>
      <c r="F30" s="12">
        <f>'Dashboard Control'!N33</f>
        <v>3000</v>
      </c>
      <c r="G30" s="27"/>
      <c r="H30" s="58"/>
      <c r="I30" s="42">
        <f t="shared" si="3"/>
        <v>3000</v>
      </c>
    </row>
    <row r="31" spans="2:9" x14ac:dyDescent="0.3">
      <c r="B31" s="250" t="str">
        <f>'Dashboard Control'!J34</f>
        <v>Miscellaneous</v>
      </c>
      <c r="C31" s="250"/>
      <c r="D31" s="250"/>
      <c r="F31" s="12">
        <f>'Dashboard Control'!N34</f>
        <v>10000</v>
      </c>
      <c r="G31" s="27"/>
      <c r="H31" s="58"/>
      <c r="I31" s="42">
        <f t="shared" si="3"/>
        <v>10000</v>
      </c>
    </row>
    <row r="32" spans="2:9" x14ac:dyDescent="0.3">
      <c r="B32" s="250" t="str">
        <f>'Dashboard Control'!J35</f>
        <v>Teton Due Diligence</v>
      </c>
      <c r="C32" s="250"/>
      <c r="D32" s="250"/>
      <c r="F32" s="12">
        <f>'Dashboard Control'!N35</f>
        <v>15000</v>
      </c>
      <c r="G32" s="27"/>
      <c r="H32" s="58"/>
      <c r="I32" s="42">
        <f t="shared" si="3"/>
        <v>15000</v>
      </c>
    </row>
    <row r="33" spans="2:9" x14ac:dyDescent="0.3">
      <c r="B33" s="250" t="str">
        <f>'Dashboard Control'!J36</f>
        <v>Teton Closing Costs</v>
      </c>
      <c r="C33" s="250"/>
      <c r="D33" s="250"/>
      <c r="F33" s="12">
        <f>'Dashboard Control'!N36</f>
        <v>20000</v>
      </c>
      <c r="G33" s="27"/>
      <c r="H33" s="58"/>
      <c r="I33" s="42">
        <f t="shared" si="3"/>
        <v>20000</v>
      </c>
    </row>
    <row r="34" spans="2:9" x14ac:dyDescent="0.3">
      <c r="B34" s="250" t="str">
        <f>'Dashboard Control'!J37</f>
        <v>Teton Deal Fee</v>
      </c>
      <c r="C34" s="250"/>
      <c r="D34" s="250"/>
      <c r="F34" s="12">
        <f>'Dashboard Control'!N37</f>
        <v>49000</v>
      </c>
      <c r="G34" s="58"/>
      <c r="H34" s="58"/>
      <c r="I34" s="42">
        <f t="shared" ref="I34:I35" si="4">SUM(F34:H34)</f>
        <v>49000</v>
      </c>
    </row>
    <row r="35" spans="2:9" x14ac:dyDescent="0.3">
      <c r="B35" s="250" t="str">
        <f>'Dashboard Control'!J38</f>
        <v>Capital Account</v>
      </c>
      <c r="C35" s="250"/>
      <c r="D35" s="250"/>
      <c r="F35" s="26">
        <f>'Dashboard Control'!N38</f>
        <v>69100</v>
      </c>
      <c r="G35" s="28"/>
      <c r="H35" s="28"/>
      <c r="I35" s="32">
        <f t="shared" si="4"/>
        <v>69100</v>
      </c>
    </row>
    <row r="36" spans="2:9" x14ac:dyDescent="0.3">
      <c r="B36" s="275" t="s">
        <v>117</v>
      </c>
      <c r="C36" s="275"/>
      <c r="D36" s="275"/>
      <c r="F36" s="12">
        <f>SUM(F24:F35)</f>
        <v>248250</v>
      </c>
      <c r="G36" s="12">
        <f>SUM(G24:G35)</f>
        <v>0</v>
      </c>
      <c r="H36" s="12">
        <f>SUM(H24:H35)</f>
        <v>0</v>
      </c>
      <c r="I36" s="223">
        <f>SUM(I24:I35)</f>
        <v>248250</v>
      </c>
    </row>
    <row r="37" spans="2:9" x14ac:dyDescent="0.3">
      <c r="B37" s="271"/>
      <c r="C37" s="271"/>
      <c r="D37" s="271"/>
      <c r="F37" s="12"/>
      <c r="G37" s="27"/>
      <c r="H37" s="58"/>
      <c r="I37" s="4"/>
    </row>
    <row r="38" spans="2:9" x14ac:dyDescent="0.3">
      <c r="B38" s="276"/>
      <c r="C38" s="276"/>
      <c r="D38" s="276"/>
      <c r="E38" s="227"/>
      <c r="F38" s="228"/>
      <c r="G38" s="227"/>
      <c r="H38" s="229"/>
      <c r="I38" s="230"/>
    </row>
    <row r="39" spans="2:9" x14ac:dyDescent="0.3">
      <c r="B39" s="271"/>
      <c r="C39" s="271"/>
      <c r="D39" s="271"/>
      <c r="H39" s="4"/>
      <c r="I39" s="4"/>
    </row>
    <row r="42" spans="2:9" x14ac:dyDescent="0.3">
      <c r="B42" s="274"/>
      <c r="C42" s="274"/>
      <c r="D42" s="274"/>
      <c r="E42" s="97"/>
      <c r="H42" s="4"/>
      <c r="I42" s="4"/>
    </row>
    <row r="43" spans="2:9" x14ac:dyDescent="0.3">
      <c r="B43" s="274"/>
      <c r="C43" s="274"/>
      <c r="D43" s="274"/>
      <c r="E43" s="97"/>
      <c r="H43" s="4"/>
      <c r="I43" s="4"/>
    </row>
    <row r="44" spans="2:9" x14ac:dyDescent="0.3">
      <c r="B44" s="274"/>
      <c r="C44" s="274"/>
      <c r="D44" s="274"/>
      <c r="E44" s="97"/>
      <c r="H44" s="4"/>
      <c r="I44" s="4"/>
    </row>
    <row r="45" spans="2:9" x14ac:dyDescent="0.3">
      <c r="B45" s="274"/>
      <c r="C45" s="274"/>
      <c r="D45" s="274"/>
      <c r="E45" s="97"/>
      <c r="H45" s="4"/>
      <c r="I45" s="4"/>
    </row>
    <row r="46" spans="2:9" x14ac:dyDescent="0.3">
      <c r="H46" s="4"/>
      <c r="I46" s="4"/>
    </row>
  </sheetData>
  <mergeCells count="29">
    <mergeCell ref="B5:D5"/>
    <mergeCell ref="B23:D23"/>
    <mergeCell ref="B7:D7"/>
    <mergeCell ref="B12:D12"/>
    <mergeCell ref="B19:D19"/>
    <mergeCell ref="B8:D8"/>
    <mergeCell ref="B9:D9"/>
    <mergeCell ref="B6:C6"/>
    <mergeCell ref="B13:D13"/>
    <mergeCell ref="B14:D14"/>
    <mergeCell ref="B15:D15"/>
    <mergeCell ref="B16:D16"/>
    <mergeCell ref="B17:D17"/>
    <mergeCell ref="B21:D21"/>
    <mergeCell ref="B22:D22"/>
    <mergeCell ref="B35:D35"/>
    <mergeCell ref="B30:D30"/>
    <mergeCell ref="B32:D32"/>
    <mergeCell ref="B33:D33"/>
    <mergeCell ref="B45:D45"/>
    <mergeCell ref="B31:D31"/>
    <mergeCell ref="B42:D42"/>
    <mergeCell ref="B43:D43"/>
    <mergeCell ref="B44:D44"/>
    <mergeCell ref="B34:D34"/>
    <mergeCell ref="B36:D36"/>
    <mergeCell ref="B38:D38"/>
    <mergeCell ref="B37:D37"/>
    <mergeCell ref="B39:D39"/>
  </mergeCells>
  <pageMargins left="0.7" right="0.7" top="0.75" bottom="0.75" header="0.3" footer="0.3"/>
  <pageSetup scale="92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1546-7545-4ECD-9FD0-3B4BD93F506E}">
  <dimension ref="B2:S251"/>
  <sheetViews>
    <sheetView zoomScale="110" zoomScaleNormal="110" workbookViewId="0">
      <selection activeCell="F19" sqref="F19"/>
    </sheetView>
  </sheetViews>
  <sheetFormatPr defaultRowHeight="14.4" x14ac:dyDescent="0.3"/>
  <cols>
    <col min="4" max="4" width="11.6640625" customWidth="1"/>
    <col min="5" max="6" width="14.33203125" bestFit="1" customWidth="1"/>
    <col min="8" max="9" width="12.6640625" bestFit="1" customWidth="1"/>
    <col min="10" max="10" width="10.88671875" bestFit="1" customWidth="1"/>
    <col min="11" max="12" width="9.88671875" bestFit="1" customWidth="1"/>
    <col min="13" max="13" width="12.6640625" bestFit="1" customWidth="1"/>
    <col min="15" max="15" width="12.88671875" bestFit="1" customWidth="1"/>
    <col min="16" max="16" width="13.6640625" bestFit="1" customWidth="1"/>
    <col min="17" max="19" width="10.88671875" bestFit="1" customWidth="1"/>
  </cols>
  <sheetData>
    <row r="2" spans="2:15" ht="21" x14ac:dyDescent="0.4">
      <c r="B2" s="7" t="s">
        <v>118</v>
      </c>
    </row>
    <row r="3" spans="2:15" ht="18" x14ac:dyDescent="0.35">
      <c r="B3" s="6" t="str">
        <f>'Dashboard Control'!B3</f>
        <v>Lake Bluff Campground</v>
      </c>
    </row>
    <row r="4" spans="2:15" x14ac:dyDescent="0.3">
      <c r="G4" s="253" t="str">
        <f>B2</f>
        <v>Amortization Schedule</v>
      </c>
      <c r="H4" s="253"/>
      <c r="I4" s="253"/>
      <c r="J4" s="253"/>
      <c r="K4" s="253"/>
      <c r="L4" s="253"/>
      <c r="M4" s="253"/>
      <c r="N4" s="253"/>
    </row>
    <row r="5" spans="2:15" x14ac:dyDescent="0.3">
      <c r="G5" s="8" t="s">
        <v>161</v>
      </c>
      <c r="H5" s="88">
        <f>E12</f>
        <v>1715000</v>
      </c>
      <c r="M5" s="8" t="s">
        <v>162</v>
      </c>
      <c r="N5">
        <v>1</v>
      </c>
    </row>
    <row r="6" spans="2:15" x14ac:dyDescent="0.3">
      <c r="G6" s="8" t="s">
        <v>163</v>
      </c>
      <c r="H6" s="49">
        <f>E13</f>
        <v>0.04</v>
      </c>
      <c r="I6">
        <v>12</v>
      </c>
      <c r="M6" s="8" t="s">
        <v>164</v>
      </c>
      <c r="N6">
        <v>0</v>
      </c>
    </row>
    <row r="7" spans="2:15" x14ac:dyDescent="0.3">
      <c r="B7" s="256" t="s">
        <v>119</v>
      </c>
      <c r="C7" s="256"/>
      <c r="D7" s="256"/>
      <c r="G7" s="8" t="s">
        <v>165</v>
      </c>
      <c r="H7">
        <f>E14*12</f>
        <v>240</v>
      </c>
    </row>
    <row r="8" spans="2:15" x14ac:dyDescent="0.3">
      <c r="B8" s="259" t="s">
        <v>112</v>
      </c>
      <c r="C8" s="259"/>
      <c r="D8" s="259"/>
      <c r="E8" s="27">
        <f>'Dashboard Control'!N24</f>
        <v>2300000</v>
      </c>
    </row>
    <row r="9" spans="2:15" x14ac:dyDescent="0.3">
      <c r="B9" s="259" t="s">
        <v>113</v>
      </c>
      <c r="C9" s="259"/>
      <c r="D9" s="259"/>
      <c r="E9" s="27">
        <f>'Dashboard Control'!N25</f>
        <v>150000</v>
      </c>
    </row>
    <row r="10" spans="2:15" x14ac:dyDescent="0.3">
      <c r="B10" s="259" t="s">
        <v>120</v>
      </c>
      <c r="C10" s="259"/>
      <c r="D10" s="259"/>
      <c r="E10" s="25">
        <f>1-'Dashboard Control'!N6</f>
        <v>0.7</v>
      </c>
      <c r="H10" s="87" t="s">
        <v>166</v>
      </c>
      <c r="I10" s="87" t="s">
        <v>167</v>
      </c>
      <c r="J10" s="87" t="s">
        <v>168</v>
      </c>
      <c r="K10" s="87" t="s">
        <v>17</v>
      </c>
      <c r="L10" s="87" t="s">
        <v>16</v>
      </c>
      <c r="M10" s="87" t="s">
        <v>169</v>
      </c>
    </row>
    <row r="11" spans="2:15" x14ac:dyDescent="0.3">
      <c r="B11" s="259" t="s">
        <v>121</v>
      </c>
      <c r="C11" s="259"/>
      <c r="D11" s="259"/>
      <c r="E11" s="27">
        <f>E8*'Dashboard Control'!N6</f>
        <v>690000</v>
      </c>
      <c r="H11" s="85"/>
      <c r="I11" s="88"/>
      <c r="J11" s="88"/>
      <c r="K11" s="88"/>
      <c r="L11" s="88"/>
      <c r="M11" s="88">
        <f>H5</f>
        <v>1715000</v>
      </c>
      <c r="O11" s="100"/>
    </row>
    <row r="12" spans="2:15" x14ac:dyDescent="0.3">
      <c r="B12" s="254" t="s">
        <v>122</v>
      </c>
      <c r="C12" s="254"/>
      <c r="D12" s="254"/>
      <c r="E12" s="27">
        <f>(E8+E9)*E10</f>
        <v>1715000</v>
      </c>
      <c r="H12" s="85">
        <v>1</v>
      </c>
      <c r="I12" s="88">
        <f>H5</f>
        <v>1715000</v>
      </c>
      <c r="J12" s="88">
        <f>IF(AND($N$5,H12&lt;=$N$6),K12,PMT($H$6/$I$6,IF($N$5,$H$7-$N$6,$H$7),$H$5))</f>
        <v>-10392.562647485031</v>
      </c>
      <c r="K12" s="88">
        <f>+$H$6/$I$6*M11*-1</f>
        <v>-5716.666666666667</v>
      </c>
      <c r="L12" s="88">
        <f>J12-K12</f>
        <v>-4675.8959808183636</v>
      </c>
      <c r="M12" s="88">
        <f>I12+L12</f>
        <v>1710324.1040191816</v>
      </c>
    </row>
    <row r="13" spans="2:15" x14ac:dyDescent="0.3">
      <c r="B13" s="259" t="s">
        <v>123</v>
      </c>
      <c r="C13" s="259"/>
      <c r="D13" s="259"/>
      <c r="E13" s="25">
        <f>'Dashboard Control'!N7</f>
        <v>0.04</v>
      </c>
      <c r="H13" s="85">
        <v>2</v>
      </c>
      <c r="I13" s="88">
        <f>M12</f>
        <v>1710324.1040191816</v>
      </c>
      <c r="J13" s="88">
        <f t="shared" ref="J13:J76" si="0">IF(AND($N$5,H13&lt;=$N$6),K13,PMT($H$6/$I$6,IF($N$5,$H$7-$N$6,$H$7),$H$5))</f>
        <v>-10392.562647485031</v>
      </c>
      <c r="K13" s="88">
        <f t="shared" ref="K13:K76" si="1">+$H$6/$I$6*M12*-1</f>
        <v>-5701.0803467306059</v>
      </c>
      <c r="L13" s="88">
        <f t="shared" ref="L13:L76" si="2">J13-K13</f>
        <v>-4691.4823007544246</v>
      </c>
      <c r="M13" s="88">
        <f t="shared" ref="M13:M76" si="3">I13+L13</f>
        <v>1705632.6217184272</v>
      </c>
    </row>
    <row r="14" spans="2:15" x14ac:dyDescent="0.3">
      <c r="B14" s="259" t="s">
        <v>124</v>
      </c>
      <c r="C14" s="259"/>
      <c r="D14" s="259"/>
      <c r="E14">
        <f>'Dashboard Control'!N8</f>
        <v>20</v>
      </c>
      <c r="H14" s="85">
        <v>3</v>
      </c>
      <c r="I14" s="88">
        <f t="shared" ref="I14:I77" si="4">M13</f>
        <v>1705632.6217184272</v>
      </c>
      <c r="J14" s="88">
        <f t="shared" si="0"/>
        <v>-10392.562647485031</v>
      </c>
      <c r="K14" s="88">
        <f t="shared" si="1"/>
        <v>-5685.4420723947578</v>
      </c>
      <c r="L14" s="88">
        <f t="shared" si="2"/>
        <v>-4707.1205750902727</v>
      </c>
      <c r="M14" s="88">
        <f t="shared" si="3"/>
        <v>1700925.501143337</v>
      </c>
    </row>
    <row r="15" spans="2:15" x14ac:dyDescent="0.3">
      <c r="B15" s="259" t="s">
        <v>125</v>
      </c>
      <c r="C15" s="259"/>
      <c r="D15" s="259"/>
      <c r="E15" s="45">
        <f>J24</f>
        <v>-10392.562647485031</v>
      </c>
      <c r="H15" s="85">
        <v>4</v>
      </c>
      <c r="I15" s="88">
        <f t="shared" si="4"/>
        <v>1700925.501143337</v>
      </c>
      <c r="J15" s="88">
        <f t="shared" si="0"/>
        <v>-10392.562647485031</v>
      </c>
      <c r="K15" s="88">
        <f t="shared" si="1"/>
        <v>-5669.75167047779</v>
      </c>
      <c r="L15" s="88">
        <f t="shared" si="2"/>
        <v>-4722.8109770072406</v>
      </c>
      <c r="M15" s="88">
        <f t="shared" si="3"/>
        <v>1696202.6901663297</v>
      </c>
    </row>
    <row r="16" spans="2:15" x14ac:dyDescent="0.3">
      <c r="B16" s="72"/>
      <c r="C16" s="72"/>
      <c r="D16" s="72"/>
      <c r="H16" s="85">
        <v>5</v>
      </c>
      <c r="I16" s="88">
        <f t="shared" si="4"/>
        <v>1696202.6901663297</v>
      </c>
      <c r="J16" s="88">
        <f t="shared" si="0"/>
        <v>-10392.562647485031</v>
      </c>
      <c r="K16" s="88">
        <f t="shared" si="1"/>
        <v>-5654.0089672210997</v>
      </c>
      <c r="L16" s="88">
        <f t="shared" si="2"/>
        <v>-4738.5536802639308</v>
      </c>
      <c r="M16" s="88">
        <f t="shared" si="3"/>
        <v>1691464.1364860658</v>
      </c>
    </row>
    <row r="17" spans="2:17" x14ac:dyDescent="0.3">
      <c r="B17" s="72"/>
      <c r="C17" s="72"/>
      <c r="D17" s="72"/>
      <c r="H17" s="85">
        <v>6</v>
      </c>
      <c r="I17" s="88">
        <f t="shared" si="4"/>
        <v>1691464.1364860658</v>
      </c>
      <c r="J17" s="88">
        <f t="shared" si="0"/>
        <v>-10392.562647485031</v>
      </c>
      <c r="K17" s="88">
        <f t="shared" si="1"/>
        <v>-5638.2137882868865</v>
      </c>
      <c r="L17" s="88">
        <f t="shared" si="2"/>
        <v>-4754.3488591981441</v>
      </c>
      <c r="M17" s="88">
        <f t="shared" si="3"/>
        <v>1686709.7876268676</v>
      </c>
    </row>
    <row r="18" spans="2:17" x14ac:dyDescent="0.3">
      <c r="B18" s="72"/>
      <c r="C18" s="72"/>
      <c r="D18" s="72"/>
      <c r="H18" s="85">
        <v>7</v>
      </c>
      <c r="I18" s="88">
        <f t="shared" si="4"/>
        <v>1686709.7876268676</v>
      </c>
      <c r="J18" s="88">
        <f t="shared" si="0"/>
        <v>-10392.562647485031</v>
      </c>
      <c r="K18" s="88">
        <f t="shared" si="1"/>
        <v>-5622.3659587562261</v>
      </c>
      <c r="L18" s="88">
        <f t="shared" si="2"/>
        <v>-4770.1966887288045</v>
      </c>
      <c r="M18" s="88">
        <f t="shared" si="3"/>
        <v>1681939.5909381388</v>
      </c>
    </row>
    <row r="19" spans="2:17" x14ac:dyDescent="0.3">
      <c r="B19" s="91"/>
      <c r="C19" s="91"/>
      <c r="D19" s="91"/>
      <c r="E19" s="92"/>
      <c r="F19" s="92"/>
      <c r="H19" s="85">
        <v>8</v>
      </c>
      <c r="I19" s="88">
        <f t="shared" si="4"/>
        <v>1681939.5909381388</v>
      </c>
      <c r="J19" s="88">
        <f t="shared" si="0"/>
        <v>-10392.562647485031</v>
      </c>
      <c r="K19" s="88">
        <f t="shared" si="1"/>
        <v>-5606.46530312713</v>
      </c>
      <c r="L19" s="88">
        <f t="shared" si="2"/>
        <v>-4786.0973443579005</v>
      </c>
      <c r="M19" s="88">
        <f t="shared" si="3"/>
        <v>1677153.4935937808</v>
      </c>
    </row>
    <row r="20" spans="2:17" x14ac:dyDescent="0.3">
      <c r="B20" s="93"/>
      <c r="C20" s="93"/>
      <c r="D20" s="93"/>
      <c r="E20" s="94"/>
      <c r="F20" s="95"/>
      <c r="H20" s="85">
        <v>9</v>
      </c>
      <c r="I20" s="88">
        <f t="shared" si="4"/>
        <v>1677153.4935937808</v>
      </c>
      <c r="J20" s="88">
        <f t="shared" si="0"/>
        <v>-10392.562647485031</v>
      </c>
      <c r="K20" s="88">
        <f t="shared" si="1"/>
        <v>-5590.5116453126029</v>
      </c>
      <c r="L20" s="88">
        <f t="shared" si="2"/>
        <v>-4802.0510021724276</v>
      </c>
      <c r="M20" s="88">
        <f t="shared" si="3"/>
        <v>1672351.4425916083</v>
      </c>
    </row>
    <row r="21" spans="2:17" x14ac:dyDescent="0.3">
      <c r="B21" s="93"/>
      <c r="C21" s="93"/>
      <c r="D21" s="93"/>
      <c r="E21" s="94"/>
      <c r="F21" s="94"/>
      <c r="H21" s="85">
        <v>10</v>
      </c>
      <c r="I21" s="88">
        <f t="shared" si="4"/>
        <v>1672351.4425916083</v>
      </c>
      <c r="J21" s="88">
        <f t="shared" si="0"/>
        <v>-10392.562647485031</v>
      </c>
      <c r="K21" s="88">
        <f t="shared" si="1"/>
        <v>-5574.5048086386942</v>
      </c>
      <c r="L21" s="88">
        <f t="shared" si="2"/>
        <v>-4818.0578388463364</v>
      </c>
      <c r="M21" s="88">
        <f t="shared" si="3"/>
        <v>1667533.384752762</v>
      </c>
    </row>
    <row r="22" spans="2:17" x14ac:dyDescent="0.3">
      <c r="B22" s="93"/>
      <c r="C22" s="93"/>
      <c r="D22" s="93"/>
      <c r="E22" s="95"/>
      <c r="F22" s="95"/>
      <c r="H22" s="85">
        <v>11</v>
      </c>
      <c r="I22" s="88">
        <f t="shared" si="4"/>
        <v>1667533.384752762</v>
      </c>
      <c r="J22" s="88">
        <f t="shared" si="0"/>
        <v>-10392.562647485031</v>
      </c>
      <c r="K22" s="88">
        <f t="shared" si="1"/>
        <v>-5558.4446158425408</v>
      </c>
      <c r="L22" s="88">
        <f t="shared" si="2"/>
        <v>-4834.1180316424898</v>
      </c>
      <c r="M22" s="88">
        <f t="shared" si="3"/>
        <v>1662699.2667211196</v>
      </c>
      <c r="O22" s="90" t="s">
        <v>171</v>
      </c>
      <c r="P22" s="90" t="s">
        <v>172</v>
      </c>
      <c r="Q22" s="90" t="s">
        <v>170</v>
      </c>
    </row>
    <row r="23" spans="2:17" x14ac:dyDescent="0.3">
      <c r="B23" s="93"/>
      <c r="C23" s="93"/>
      <c r="D23" s="93"/>
      <c r="E23" s="95"/>
      <c r="F23" s="95"/>
      <c r="H23" s="85">
        <v>12</v>
      </c>
      <c r="I23" s="88">
        <f t="shared" si="4"/>
        <v>1662699.2667211196</v>
      </c>
      <c r="J23" s="88">
        <f t="shared" si="0"/>
        <v>-10392.562647485031</v>
      </c>
      <c r="K23" s="88">
        <f t="shared" si="1"/>
        <v>-5542.3308890703993</v>
      </c>
      <c r="L23" s="88">
        <f t="shared" si="2"/>
        <v>-4850.2317584146313</v>
      </c>
      <c r="M23" s="89">
        <f t="shared" si="3"/>
        <v>1657849.0349627051</v>
      </c>
      <c r="O23" s="88">
        <f>SUM(K12:K23)</f>
        <v>-67559.786732525405</v>
      </c>
      <c r="P23" s="88">
        <f>SUM(L12:L23)</f>
        <v>-57150.965037294962</v>
      </c>
      <c r="Q23" s="88">
        <f>SUM(J12:J23)</f>
        <v>-124710.75176982036</v>
      </c>
    </row>
    <row r="24" spans="2:17" x14ac:dyDescent="0.3">
      <c r="B24" s="93"/>
      <c r="C24" s="93"/>
      <c r="D24" s="93"/>
      <c r="E24" s="94"/>
      <c r="F24" s="95"/>
      <c r="H24" s="85">
        <v>13</v>
      </c>
      <c r="I24" s="88">
        <f t="shared" si="4"/>
        <v>1657849.0349627051</v>
      </c>
      <c r="J24" s="88">
        <f t="shared" si="0"/>
        <v>-10392.562647485031</v>
      </c>
      <c r="K24" s="88">
        <f t="shared" si="1"/>
        <v>-5526.1634498756839</v>
      </c>
      <c r="L24" s="88">
        <f t="shared" si="2"/>
        <v>-4866.3991976093466</v>
      </c>
      <c r="M24" s="88">
        <f t="shared" si="3"/>
        <v>1652982.6357650957</v>
      </c>
    </row>
    <row r="25" spans="2:17" x14ac:dyDescent="0.3">
      <c r="B25" s="96"/>
      <c r="C25" s="96"/>
      <c r="D25" s="96"/>
      <c r="E25" s="97"/>
      <c r="F25" s="97"/>
      <c r="H25" s="85">
        <v>14</v>
      </c>
      <c r="I25" s="88">
        <f t="shared" si="4"/>
        <v>1652982.6357650957</v>
      </c>
      <c r="J25" s="88">
        <f t="shared" si="0"/>
        <v>-10392.562647485031</v>
      </c>
      <c r="K25" s="88">
        <f t="shared" si="1"/>
        <v>-5509.9421192169857</v>
      </c>
      <c r="L25" s="88">
        <f t="shared" si="2"/>
        <v>-4882.6205282680448</v>
      </c>
      <c r="M25" s="88">
        <f t="shared" si="3"/>
        <v>1648100.0152368278</v>
      </c>
    </row>
    <row r="26" spans="2:17" x14ac:dyDescent="0.3">
      <c r="B26" s="96"/>
      <c r="C26" s="96"/>
      <c r="D26" s="96"/>
      <c r="E26" s="97"/>
      <c r="F26" s="97"/>
      <c r="H26" s="85">
        <v>15</v>
      </c>
      <c r="I26" s="88">
        <f t="shared" si="4"/>
        <v>1648100.0152368278</v>
      </c>
      <c r="J26" s="88">
        <f t="shared" si="0"/>
        <v>-10392.562647485031</v>
      </c>
      <c r="K26" s="88">
        <f t="shared" si="1"/>
        <v>-5493.6667174560926</v>
      </c>
      <c r="L26" s="88">
        <f t="shared" si="2"/>
        <v>-4898.895930028938</v>
      </c>
      <c r="M26" s="88">
        <f t="shared" si="3"/>
        <v>1643201.1193067988</v>
      </c>
    </row>
    <row r="27" spans="2:17" x14ac:dyDescent="0.3">
      <c r="B27" s="96"/>
      <c r="C27" s="96"/>
      <c r="D27" s="96"/>
      <c r="E27" s="97"/>
      <c r="F27" s="97"/>
      <c r="H27" s="85">
        <v>16</v>
      </c>
      <c r="I27" s="88">
        <f t="shared" si="4"/>
        <v>1643201.1193067988</v>
      </c>
      <c r="J27" s="88">
        <f t="shared" si="0"/>
        <v>-10392.562647485031</v>
      </c>
      <c r="K27" s="88">
        <f t="shared" si="1"/>
        <v>-5477.3370643559965</v>
      </c>
      <c r="L27" s="88">
        <f t="shared" si="2"/>
        <v>-4915.225583129034</v>
      </c>
      <c r="M27" s="88">
        <f t="shared" si="3"/>
        <v>1638285.8937236697</v>
      </c>
    </row>
    <row r="28" spans="2:17" x14ac:dyDescent="0.3">
      <c r="B28" s="93"/>
      <c r="C28" s="93"/>
      <c r="D28" s="93"/>
      <c r="E28" s="97"/>
      <c r="F28" s="97"/>
      <c r="H28" s="85">
        <v>17</v>
      </c>
      <c r="I28" s="88">
        <f t="shared" si="4"/>
        <v>1638285.8937236697</v>
      </c>
      <c r="J28" s="88">
        <f t="shared" si="0"/>
        <v>-10392.562647485031</v>
      </c>
      <c r="K28" s="88">
        <f t="shared" si="1"/>
        <v>-5460.9529790788993</v>
      </c>
      <c r="L28" s="88">
        <f t="shared" si="2"/>
        <v>-4931.6096684061313</v>
      </c>
      <c r="M28" s="88">
        <f t="shared" si="3"/>
        <v>1633354.2840552635</v>
      </c>
    </row>
    <row r="29" spans="2:17" x14ac:dyDescent="0.3">
      <c r="H29" s="85">
        <v>18</v>
      </c>
      <c r="I29" s="88">
        <f t="shared" si="4"/>
        <v>1633354.2840552635</v>
      </c>
      <c r="J29" s="88">
        <f t="shared" si="0"/>
        <v>-10392.562647485031</v>
      </c>
      <c r="K29" s="88">
        <f t="shared" si="1"/>
        <v>-5444.5142801842121</v>
      </c>
      <c r="L29" s="88">
        <f t="shared" si="2"/>
        <v>-4948.0483673008184</v>
      </c>
      <c r="M29" s="88">
        <f t="shared" si="3"/>
        <v>1628406.2356879627</v>
      </c>
    </row>
    <row r="30" spans="2:17" x14ac:dyDescent="0.3">
      <c r="H30" s="85">
        <v>19</v>
      </c>
      <c r="I30" s="88">
        <f t="shared" si="4"/>
        <v>1628406.2356879627</v>
      </c>
      <c r="J30" s="88">
        <f t="shared" si="0"/>
        <v>-10392.562647485031</v>
      </c>
      <c r="K30" s="88">
        <f t="shared" si="1"/>
        <v>-5428.0207856265424</v>
      </c>
      <c r="L30" s="88">
        <f t="shared" si="2"/>
        <v>-4964.5418618584881</v>
      </c>
      <c r="M30" s="88">
        <f t="shared" si="3"/>
        <v>1623441.6938261043</v>
      </c>
    </row>
    <row r="31" spans="2:17" x14ac:dyDescent="0.3">
      <c r="H31" s="85">
        <v>20</v>
      </c>
      <c r="I31" s="88">
        <f t="shared" si="4"/>
        <v>1623441.6938261043</v>
      </c>
      <c r="J31" s="88">
        <f t="shared" si="0"/>
        <v>-10392.562647485031</v>
      </c>
      <c r="K31" s="88">
        <f t="shared" si="1"/>
        <v>-5411.4723127536809</v>
      </c>
      <c r="L31" s="88">
        <f t="shared" si="2"/>
        <v>-4981.0903347313497</v>
      </c>
      <c r="M31" s="88">
        <f t="shared" si="3"/>
        <v>1618460.6034913729</v>
      </c>
    </row>
    <row r="32" spans="2:17" x14ac:dyDescent="0.3">
      <c r="H32" s="85">
        <v>21</v>
      </c>
      <c r="I32" s="88">
        <f t="shared" si="4"/>
        <v>1618460.6034913729</v>
      </c>
      <c r="J32" s="88">
        <f t="shared" si="0"/>
        <v>-10392.562647485031</v>
      </c>
      <c r="K32" s="88">
        <f t="shared" si="1"/>
        <v>-5394.8686783045769</v>
      </c>
      <c r="L32" s="88">
        <f t="shared" si="2"/>
        <v>-4997.6939691804537</v>
      </c>
      <c r="M32" s="88">
        <f t="shared" si="3"/>
        <v>1613462.9095221926</v>
      </c>
    </row>
    <row r="33" spans="8:19" x14ac:dyDescent="0.3">
      <c r="H33" s="85">
        <v>22</v>
      </c>
      <c r="I33" s="88">
        <f t="shared" si="4"/>
        <v>1613462.9095221926</v>
      </c>
      <c r="J33" s="88">
        <f t="shared" si="0"/>
        <v>-10392.562647485031</v>
      </c>
      <c r="K33" s="88">
        <f t="shared" si="1"/>
        <v>-5378.2096984073087</v>
      </c>
      <c r="L33" s="88">
        <f t="shared" si="2"/>
        <v>-5014.3529490777219</v>
      </c>
      <c r="M33" s="88">
        <f t="shared" si="3"/>
        <v>1608448.5565731148</v>
      </c>
    </row>
    <row r="34" spans="8:19" x14ac:dyDescent="0.3">
      <c r="H34" s="85">
        <v>23</v>
      </c>
      <c r="I34" s="88">
        <f t="shared" si="4"/>
        <v>1608448.5565731148</v>
      </c>
      <c r="J34" s="88">
        <f t="shared" si="0"/>
        <v>-10392.562647485031</v>
      </c>
      <c r="K34" s="88">
        <f t="shared" si="1"/>
        <v>-5361.4951885770497</v>
      </c>
      <c r="L34" s="88">
        <f t="shared" si="2"/>
        <v>-5031.0674589079808</v>
      </c>
      <c r="M34" s="88">
        <f t="shared" si="3"/>
        <v>1603417.4891142067</v>
      </c>
      <c r="O34" s="90" t="s">
        <v>171</v>
      </c>
      <c r="P34" s="90" t="s">
        <v>172</v>
      </c>
      <c r="Q34" s="90" t="s">
        <v>170</v>
      </c>
    </row>
    <row r="35" spans="8:19" x14ac:dyDescent="0.3">
      <c r="H35" s="85">
        <v>24</v>
      </c>
      <c r="I35" s="88">
        <f t="shared" si="4"/>
        <v>1603417.4891142067</v>
      </c>
      <c r="J35" s="88">
        <f t="shared" si="0"/>
        <v>-10392.562647485031</v>
      </c>
      <c r="K35" s="88">
        <f t="shared" si="1"/>
        <v>-5344.724963714023</v>
      </c>
      <c r="L35" s="88">
        <f t="shared" si="2"/>
        <v>-5047.8376837710075</v>
      </c>
      <c r="M35" s="89">
        <f t="shared" si="3"/>
        <v>1598369.6514304357</v>
      </c>
      <c r="O35" s="88">
        <f>SUM(K24:K35)</f>
        <v>-65231.368237551054</v>
      </c>
      <c r="P35" s="88">
        <f>SUM(L24:L35)</f>
        <v>-59479.383532269312</v>
      </c>
      <c r="Q35" s="88">
        <f>SUM(J24:J35)</f>
        <v>-124710.75176982036</v>
      </c>
      <c r="S35" s="88"/>
    </row>
    <row r="36" spans="8:19" x14ac:dyDescent="0.3">
      <c r="H36" s="85">
        <v>25</v>
      </c>
      <c r="I36" s="88">
        <f t="shared" si="4"/>
        <v>1598369.6514304357</v>
      </c>
      <c r="J36" s="88">
        <f t="shared" si="0"/>
        <v>-10392.562647485031</v>
      </c>
      <c r="K36" s="88">
        <f t="shared" si="1"/>
        <v>-5327.8988381014524</v>
      </c>
      <c r="L36" s="88">
        <f t="shared" si="2"/>
        <v>-5064.6638093835782</v>
      </c>
      <c r="M36" s="88">
        <f t="shared" si="3"/>
        <v>1593304.9876210522</v>
      </c>
    </row>
    <row r="37" spans="8:19" x14ac:dyDescent="0.3">
      <c r="H37" s="85">
        <v>26</v>
      </c>
      <c r="I37" s="88">
        <f t="shared" si="4"/>
        <v>1593304.9876210522</v>
      </c>
      <c r="J37" s="88">
        <f t="shared" si="0"/>
        <v>-10392.562647485031</v>
      </c>
      <c r="K37" s="88">
        <f t="shared" si="1"/>
        <v>-5311.0166254035075</v>
      </c>
      <c r="L37" s="88">
        <f t="shared" si="2"/>
        <v>-5081.546022081523</v>
      </c>
      <c r="M37" s="88">
        <f t="shared" si="3"/>
        <v>1588223.4415989707</v>
      </c>
    </row>
    <row r="38" spans="8:19" x14ac:dyDescent="0.3">
      <c r="H38" s="85">
        <v>27</v>
      </c>
      <c r="I38" s="88">
        <f t="shared" si="4"/>
        <v>1588223.4415989707</v>
      </c>
      <c r="J38" s="88">
        <f t="shared" si="0"/>
        <v>-10392.562647485031</v>
      </c>
      <c r="K38" s="88">
        <f t="shared" si="1"/>
        <v>-5294.0781386632361</v>
      </c>
      <c r="L38" s="88">
        <f t="shared" si="2"/>
        <v>-5098.4845088217944</v>
      </c>
      <c r="M38" s="88">
        <f t="shared" si="3"/>
        <v>1583124.9570901489</v>
      </c>
    </row>
    <row r="39" spans="8:19" x14ac:dyDescent="0.3">
      <c r="H39" s="85">
        <v>28</v>
      </c>
      <c r="I39" s="88">
        <f t="shared" si="4"/>
        <v>1583124.9570901489</v>
      </c>
      <c r="J39" s="88">
        <f t="shared" si="0"/>
        <v>-10392.562647485031</v>
      </c>
      <c r="K39" s="88">
        <f t="shared" si="1"/>
        <v>-5277.0831903004964</v>
      </c>
      <c r="L39" s="88">
        <f t="shared" si="2"/>
        <v>-5115.4794571845341</v>
      </c>
      <c r="M39" s="88">
        <f t="shared" si="3"/>
        <v>1578009.4776329645</v>
      </c>
    </row>
    <row r="40" spans="8:19" x14ac:dyDescent="0.3">
      <c r="H40" s="85">
        <v>29</v>
      </c>
      <c r="I40" s="88">
        <f t="shared" si="4"/>
        <v>1578009.4776329645</v>
      </c>
      <c r="J40" s="88">
        <f t="shared" si="0"/>
        <v>-10392.562647485031</v>
      </c>
      <c r="K40" s="88">
        <f t="shared" si="1"/>
        <v>-5260.0315921098818</v>
      </c>
      <c r="L40" s="88">
        <f t="shared" si="2"/>
        <v>-5132.5310553751488</v>
      </c>
      <c r="M40" s="88">
        <f t="shared" si="3"/>
        <v>1572876.9465775893</v>
      </c>
    </row>
    <row r="41" spans="8:19" x14ac:dyDescent="0.3">
      <c r="H41" s="85">
        <v>30</v>
      </c>
      <c r="I41" s="88">
        <f t="shared" si="4"/>
        <v>1572876.9465775893</v>
      </c>
      <c r="J41" s="88">
        <f t="shared" si="0"/>
        <v>-10392.562647485031</v>
      </c>
      <c r="K41" s="88">
        <f t="shared" si="1"/>
        <v>-5242.9231552586316</v>
      </c>
      <c r="L41" s="88">
        <f t="shared" si="2"/>
        <v>-5149.6394922263989</v>
      </c>
      <c r="M41" s="88">
        <f t="shared" si="3"/>
        <v>1567727.307085363</v>
      </c>
    </row>
    <row r="42" spans="8:19" x14ac:dyDescent="0.3">
      <c r="H42" s="85">
        <v>31</v>
      </c>
      <c r="I42" s="88">
        <f t="shared" si="4"/>
        <v>1567727.307085363</v>
      </c>
      <c r="J42" s="88">
        <f t="shared" si="0"/>
        <v>-10392.562647485031</v>
      </c>
      <c r="K42" s="88">
        <f t="shared" si="1"/>
        <v>-5225.757690284544</v>
      </c>
      <c r="L42" s="88">
        <f t="shared" si="2"/>
        <v>-5166.8049572004866</v>
      </c>
      <c r="M42" s="88">
        <f t="shared" si="3"/>
        <v>1562560.5021281624</v>
      </c>
    </row>
    <row r="43" spans="8:19" x14ac:dyDescent="0.3">
      <c r="H43" s="85">
        <v>32</v>
      </c>
      <c r="I43" s="88">
        <f t="shared" si="4"/>
        <v>1562560.5021281624</v>
      </c>
      <c r="J43" s="88">
        <f t="shared" si="0"/>
        <v>-10392.562647485031</v>
      </c>
      <c r="K43" s="88">
        <f t="shared" si="1"/>
        <v>-5208.5350070938748</v>
      </c>
      <c r="L43" s="88">
        <f t="shared" si="2"/>
        <v>-5184.0276403911557</v>
      </c>
      <c r="M43" s="88">
        <f t="shared" si="3"/>
        <v>1557376.4744877713</v>
      </c>
    </row>
    <row r="44" spans="8:19" x14ac:dyDescent="0.3">
      <c r="H44" s="85">
        <v>33</v>
      </c>
      <c r="I44" s="88">
        <f t="shared" si="4"/>
        <v>1557376.4744877713</v>
      </c>
      <c r="J44" s="88">
        <f t="shared" si="0"/>
        <v>-10392.562647485031</v>
      </c>
      <c r="K44" s="88">
        <f t="shared" si="1"/>
        <v>-5191.2549149592378</v>
      </c>
      <c r="L44" s="88">
        <f t="shared" si="2"/>
        <v>-5201.3077325257927</v>
      </c>
      <c r="M44" s="88">
        <f t="shared" si="3"/>
        <v>1552175.1667552455</v>
      </c>
    </row>
    <row r="45" spans="8:19" x14ac:dyDescent="0.3">
      <c r="H45" s="85">
        <v>34</v>
      </c>
      <c r="I45" s="88">
        <f t="shared" si="4"/>
        <v>1552175.1667552455</v>
      </c>
      <c r="J45" s="88">
        <f t="shared" si="0"/>
        <v>-10392.562647485031</v>
      </c>
      <c r="K45" s="88">
        <f t="shared" si="1"/>
        <v>-5173.9172225174852</v>
      </c>
      <c r="L45" s="88">
        <f t="shared" si="2"/>
        <v>-5218.6454249675453</v>
      </c>
      <c r="M45" s="88">
        <f t="shared" si="3"/>
        <v>1546956.5213302779</v>
      </c>
    </row>
    <row r="46" spans="8:19" x14ac:dyDescent="0.3">
      <c r="H46" s="85">
        <v>35</v>
      </c>
      <c r="I46" s="88">
        <f t="shared" si="4"/>
        <v>1546956.5213302779</v>
      </c>
      <c r="J46" s="88">
        <f t="shared" si="0"/>
        <v>-10392.562647485031</v>
      </c>
      <c r="K46" s="88">
        <f t="shared" si="1"/>
        <v>-5156.5217377675935</v>
      </c>
      <c r="L46" s="88">
        <f t="shared" si="2"/>
        <v>-5236.040909717437</v>
      </c>
      <c r="M46" s="88">
        <f t="shared" si="3"/>
        <v>1541720.4804205606</v>
      </c>
      <c r="O46" s="90" t="s">
        <v>171</v>
      </c>
      <c r="P46" s="90" t="s">
        <v>172</v>
      </c>
      <c r="Q46" s="90" t="s">
        <v>170</v>
      </c>
    </row>
    <row r="47" spans="8:19" x14ac:dyDescent="0.3">
      <c r="H47" s="85">
        <v>36</v>
      </c>
      <c r="I47" s="88">
        <f t="shared" si="4"/>
        <v>1541720.4804205606</v>
      </c>
      <c r="J47" s="88">
        <f t="shared" si="0"/>
        <v>-10392.562647485031</v>
      </c>
      <c r="K47" s="88">
        <f t="shared" si="1"/>
        <v>-5139.0682680685359</v>
      </c>
      <c r="L47" s="88">
        <f t="shared" si="2"/>
        <v>-5253.4943794164947</v>
      </c>
      <c r="M47" s="89">
        <f t="shared" si="3"/>
        <v>1536466.986041144</v>
      </c>
      <c r="O47" s="88">
        <f>SUM(K36:K47)</f>
        <v>-62808.086380528475</v>
      </c>
      <c r="P47" s="88">
        <f>SUM(L36:L47)</f>
        <v>-61902.665389291884</v>
      </c>
      <c r="Q47" s="88">
        <f>SUM(J36:J47)</f>
        <v>-124710.75176982036</v>
      </c>
      <c r="S47" s="88"/>
    </row>
    <row r="48" spans="8:19" x14ac:dyDescent="0.3">
      <c r="H48" s="85">
        <v>37</v>
      </c>
      <c r="I48" s="88">
        <f t="shared" si="4"/>
        <v>1536466.986041144</v>
      </c>
      <c r="J48" s="88">
        <f t="shared" si="0"/>
        <v>-10392.562647485031</v>
      </c>
      <c r="K48" s="88">
        <f t="shared" si="1"/>
        <v>-5121.5566201371466</v>
      </c>
      <c r="L48" s="88">
        <f t="shared" si="2"/>
        <v>-5271.0060273478839</v>
      </c>
      <c r="M48" s="88">
        <f t="shared" si="3"/>
        <v>1531195.9800137961</v>
      </c>
    </row>
    <row r="49" spans="8:19" x14ac:dyDescent="0.3">
      <c r="H49" s="85">
        <v>38</v>
      </c>
      <c r="I49" s="88">
        <f t="shared" si="4"/>
        <v>1531195.9800137961</v>
      </c>
      <c r="J49" s="88">
        <f t="shared" si="0"/>
        <v>-10392.562647485031</v>
      </c>
      <c r="K49" s="88">
        <f t="shared" si="1"/>
        <v>-5103.9866000459879</v>
      </c>
      <c r="L49" s="88">
        <f t="shared" si="2"/>
        <v>-5288.5760474390427</v>
      </c>
      <c r="M49" s="88">
        <f t="shared" si="3"/>
        <v>1525907.403966357</v>
      </c>
    </row>
    <row r="50" spans="8:19" x14ac:dyDescent="0.3">
      <c r="H50" s="85">
        <v>39</v>
      </c>
      <c r="I50" s="88">
        <f t="shared" si="4"/>
        <v>1525907.403966357</v>
      </c>
      <c r="J50" s="88">
        <f t="shared" si="0"/>
        <v>-10392.562647485031</v>
      </c>
      <c r="K50" s="88">
        <f t="shared" si="1"/>
        <v>-5086.35801322119</v>
      </c>
      <c r="L50" s="88">
        <f t="shared" si="2"/>
        <v>-5306.2046342638405</v>
      </c>
      <c r="M50" s="88">
        <f t="shared" si="3"/>
        <v>1520601.1993320931</v>
      </c>
    </row>
    <row r="51" spans="8:19" x14ac:dyDescent="0.3">
      <c r="H51" s="85">
        <v>40</v>
      </c>
      <c r="I51" s="88">
        <f t="shared" si="4"/>
        <v>1520601.1993320931</v>
      </c>
      <c r="J51" s="88">
        <f t="shared" si="0"/>
        <v>-10392.562647485031</v>
      </c>
      <c r="K51" s="88">
        <f t="shared" si="1"/>
        <v>-5068.6706644403112</v>
      </c>
      <c r="L51" s="88">
        <f t="shared" si="2"/>
        <v>-5323.8919830447194</v>
      </c>
      <c r="M51" s="88">
        <f t="shared" si="3"/>
        <v>1515277.3073490483</v>
      </c>
    </row>
    <row r="52" spans="8:19" x14ac:dyDescent="0.3">
      <c r="H52" s="85">
        <v>41</v>
      </c>
      <c r="I52" s="88">
        <f t="shared" si="4"/>
        <v>1515277.3073490483</v>
      </c>
      <c r="J52" s="88">
        <f t="shared" si="0"/>
        <v>-10392.562647485031</v>
      </c>
      <c r="K52" s="88">
        <f t="shared" si="1"/>
        <v>-5050.9243578301612</v>
      </c>
      <c r="L52" s="88">
        <f t="shared" si="2"/>
        <v>-5341.6382896548694</v>
      </c>
      <c r="M52" s="88">
        <f t="shared" si="3"/>
        <v>1509935.6690593935</v>
      </c>
    </row>
    <row r="53" spans="8:19" x14ac:dyDescent="0.3">
      <c r="H53" s="85">
        <v>42</v>
      </c>
      <c r="I53" s="88">
        <f t="shared" si="4"/>
        <v>1509935.6690593935</v>
      </c>
      <c r="J53" s="88">
        <f t="shared" si="0"/>
        <v>-10392.562647485031</v>
      </c>
      <c r="K53" s="88">
        <f t="shared" si="1"/>
        <v>-5033.1188968646456</v>
      </c>
      <c r="L53" s="88">
        <f t="shared" si="2"/>
        <v>-5359.4437506203849</v>
      </c>
      <c r="M53" s="88">
        <f t="shared" si="3"/>
        <v>1504576.2253087731</v>
      </c>
    </row>
    <row r="54" spans="8:19" x14ac:dyDescent="0.3">
      <c r="H54" s="85">
        <v>43</v>
      </c>
      <c r="I54" s="88">
        <f t="shared" si="4"/>
        <v>1504576.2253087731</v>
      </c>
      <c r="J54" s="88">
        <f t="shared" si="0"/>
        <v>-10392.562647485031</v>
      </c>
      <c r="K54" s="88">
        <f t="shared" si="1"/>
        <v>-5015.2540843625775</v>
      </c>
      <c r="L54" s="88">
        <f t="shared" si="2"/>
        <v>-5377.3085631224531</v>
      </c>
      <c r="M54" s="88">
        <f t="shared" si="3"/>
        <v>1499198.9167456506</v>
      </c>
    </row>
    <row r="55" spans="8:19" x14ac:dyDescent="0.3">
      <c r="H55" s="85">
        <v>44</v>
      </c>
      <c r="I55" s="88">
        <f t="shared" si="4"/>
        <v>1499198.9167456506</v>
      </c>
      <c r="J55" s="88">
        <f t="shared" si="0"/>
        <v>-10392.562647485031</v>
      </c>
      <c r="K55" s="88">
        <f t="shared" si="1"/>
        <v>-4997.3297224855023</v>
      </c>
      <c r="L55" s="88">
        <f t="shared" si="2"/>
        <v>-5395.2329249995282</v>
      </c>
      <c r="M55" s="88">
        <f t="shared" si="3"/>
        <v>1493803.6838206511</v>
      </c>
    </row>
    <row r="56" spans="8:19" x14ac:dyDescent="0.3">
      <c r="H56" s="85">
        <v>45</v>
      </c>
      <c r="I56" s="88">
        <f t="shared" si="4"/>
        <v>1493803.6838206511</v>
      </c>
      <c r="J56" s="88">
        <f t="shared" si="0"/>
        <v>-10392.562647485031</v>
      </c>
      <c r="K56" s="88">
        <f t="shared" si="1"/>
        <v>-4979.3456127355039</v>
      </c>
      <c r="L56" s="88">
        <f t="shared" si="2"/>
        <v>-5413.2170347495266</v>
      </c>
      <c r="M56" s="88">
        <f t="shared" si="3"/>
        <v>1488390.4667859017</v>
      </c>
    </row>
    <row r="57" spans="8:19" x14ac:dyDescent="0.3">
      <c r="H57" s="85">
        <v>46</v>
      </c>
      <c r="I57" s="88">
        <f t="shared" si="4"/>
        <v>1488390.4667859017</v>
      </c>
      <c r="J57" s="88">
        <f t="shared" si="0"/>
        <v>-10392.562647485031</v>
      </c>
      <c r="K57" s="88">
        <f t="shared" si="1"/>
        <v>-4961.3015559530058</v>
      </c>
      <c r="L57" s="88">
        <f t="shared" si="2"/>
        <v>-5431.2610915320247</v>
      </c>
      <c r="M57" s="88">
        <f t="shared" si="3"/>
        <v>1482959.2056943697</v>
      </c>
    </row>
    <row r="58" spans="8:19" x14ac:dyDescent="0.3">
      <c r="H58" s="85">
        <v>47</v>
      </c>
      <c r="I58" s="88">
        <f t="shared" si="4"/>
        <v>1482959.2056943697</v>
      </c>
      <c r="J58" s="88">
        <f t="shared" si="0"/>
        <v>-10392.562647485031</v>
      </c>
      <c r="K58" s="88">
        <f t="shared" si="1"/>
        <v>-4943.1973523145662</v>
      </c>
      <c r="L58" s="88">
        <f t="shared" si="2"/>
        <v>-5449.3652951704644</v>
      </c>
      <c r="M58" s="88">
        <f t="shared" si="3"/>
        <v>1477509.8403991992</v>
      </c>
      <c r="O58" s="90" t="s">
        <v>171</v>
      </c>
      <c r="P58" s="90" t="s">
        <v>172</v>
      </c>
      <c r="Q58" s="90" t="s">
        <v>170</v>
      </c>
    </row>
    <row r="59" spans="8:19" x14ac:dyDescent="0.3">
      <c r="H59" s="85">
        <v>48</v>
      </c>
      <c r="I59" s="88">
        <f t="shared" si="4"/>
        <v>1477509.8403991992</v>
      </c>
      <c r="J59" s="88">
        <f t="shared" si="0"/>
        <v>-10392.562647485031</v>
      </c>
      <c r="K59" s="88">
        <f t="shared" si="1"/>
        <v>-4925.0328013306644</v>
      </c>
      <c r="L59" s="88">
        <f t="shared" si="2"/>
        <v>-5467.5298461543662</v>
      </c>
      <c r="M59" s="89">
        <f t="shared" si="3"/>
        <v>1472042.3105530448</v>
      </c>
      <c r="O59" s="88">
        <f>SUM(K48:K59)</f>
        <v>-60286.07628172126</v>
      </c>
      <c r="P59" s="88">
        <f>SUM(L48:L59)</f>
        <v>-64424.675488099099</v>
      </c>
      <c r="Q59" s="88">
        <f>SUM(J48:J59)</f>
        <v>-124710.75176982036</v>
      </c>
      <c r="S59" s="88"/>
    </row>
    <row r="60" spans="8:19" x14ac:dyDescent="0.3">
      <c r="H60" s="85">
        <v>49</v>
      </c>
      <c r="I60" s="88">
        <f t="shared" si="4"/>
        <v>1472042.3105530448</v>
      </c>
      <c r="J60" s="88">
        <f t="shared" si="0"/>
        <v>-10392.562647485031</v>
      </c>
      <c r="K60" s="88">
        <f t="shared" si="1"/>
        <v>-4906.8077018434833</v>
      </c>
      <c r="L60" s="88">
        <f t="shared" si="2"/>
        <v>-5485.7549456415472</v>
      </c>
      <c r="M60" s="88">
        <f t="shared" si="3"/>
        <v>1466556.5556074032</v>
      </c>
    </row>
    <row r="61" spans="8:19" x14ac:dyDescent="0.3">
      <c r="H61" s="85">
        <v>50</v>
      </c>
      <c r="I61" s="88">
        <f t="shared" si="4"/>
        <v>1466556.5556074032</v>
      </c>
      <c r="J61" s="88">
        <f t="shared" si="0"/>
        <v>-10392.562647485031</v>
      </c>
      <c r="K61" s="88">
        <f t="shared" si="1"/>
        <v>-4888.5218520246772</v>
      </c>
      <c r="L61" s="88">
        <f t="shared" si="2"/>
        <v>-5504.0407954603534</v>
      </c>
      <c r="M61" s="88">
        <f t="shared" si="3"/>
        <v>1461052.5148119428</v>
      </c>
    </row>
    <row r="62" spans="8:19" x14ac:dyDescent="0.3">
      <c r="H62" s="85">
        <v>51</v>
      </c>
      <c r="I62" s="88">
        <f t="shared" si="4"/>
        <v>1461052.5148119428</v>
      </c>
      <c r="J62" s="88">
        <f t="shared" si="0"/>
        <v>-10392.562647485031</v>
      </c>
      <c r="K62" s="88">
        <f t="shared" si="1"/>
        <v>-4870.1750493731433</v>
      </c>
      <c r="L62" s="88">
        <f t="shared" si="2"/>
        <v>-5522.3875981118872</v>
      </c>
      <c r="M62" s="88">
        <f t="shared" si="3"/>
        <v>1455530.1272138308</v>
      </c>
    </row>
    <row r="63" spans="8:19" x14ac:dyDescent="0.3">
      <c r="H63" s="85">
        <v>52</v>
      </c>
      <c r="I63" s="88">
        <f t="shared" si="4"/>
        <v>1455530.1272138308</v>
      </c>
      <c r="J63" s="88">
        <f t="shared" si="0"/>
        <v>-10392.562647485031</v>
      </c>
      <c r="K63" s="88">
        <f t="shared" si="1"/>
        <v>-4851.7670907127695</v>
      </c>
      <c r="L63" s="88">
        <f t="shared" si="2"/>
        <v>-5540.7955567722611</v>
      </c>
      <c r="M63" s="88">
        <f t="shared" si="3"/>
        <v>1449989.3316570586</v>
      </c>
    </row>
    <row r="64" spans="8:19" x14ac:dyDescent="0.3">
      <c r="H64" s="85">
        <v>53</v>
      </c>
      <c r="I64" s="88">
        <f t="shared" si="4"/>
        <v>1449989.3316570586</v>
      </c>
      <c r="J64" s="88">
        <f t="shared" si="0"/>
        <v>-10392.562647485031</v>
      </c>
      <c r="K64" s="88">
        <f t="shared" si="1"/>
        <v>-4833.2977721901952</v>
      </c>
      <c r="L64" s="88">
        <f t="shared" si="2"/>
        <v>-5559.2648752948353</v>
      </c>
      <c r="M64" s="88">
        <f t="shared" si="3"/>
        <v>1444430.0667817637</v>
      </c>
    </row>
    <row r="65" spans="8:17" x14ac:dyDescent="0.3">
      <c r="H65" s="85">
        <v>54</v>
      </c>
      <c r="I65" s="88">
        <f t="shared" si="4"/>
        <v>1444430.0667817637</v>
      </c>
      <c r="J65" s="88">
        <f t="shared" si="0"/>
        <v>-10392.562647485031</v>
      </c>
      <c r="K65" s="88">
        <f t="shared" si="1"/>
        <v>-4814.766889272546</v>
      </c>
      <c r="L65" s="88">
        <f t="shared" si="2"/>
        <v>-5577.7957582124845</v>
      </c>
      <c r="M65" s="88">
        <f t="shared" si="3"/>
        <v>1438852.2710235512</v>
      </c>
    </row>
    <row r="66" spans="8:17" x14ac:dyDescent="0.3">
      <c r="H66" s="85">
        <v>55</v>
      </c>
      <c r="I66" s="88">
        <f t="shared" si="4"/>
        <v>1438852.2710235512</v>
      </c>
      <c r="J66" s="88">
        <f t="shared" si="0"/>
        <v>-10392.562647485031</v>
      </c>
      <c r="K66" s="88">
        <f t="shared" si="1"/>
        <v>-4796.1742367451707</v>
      </c>
      <c r="L66" s="88">
        <f t="shared" si="2"/>
        <v>-5596.3884107398599</v>
      </c>
      <c r="M66" s="88">
        <f t="shared" si="3"/>
        <v>1433255.8826128114</v>
      </c>
    </row>
    <row r="67" spans="8:17" x14ac:dyDescent="0.3">
      <c r="H67" s="85">
        <v>56</v>
      </c>
      <c r="I67" s="88">
        <f t="shared" si="4"/>
        <v>1433255.8826128114</v>
      </c>
      <c r="J67" s="88">
        <f t="shared" si="0"/>
        <v>-10392.562647485031</v>
      </c>
      <c r="K67" s="88">
        <f t="shared" si="1"/>
        <v>-4777.5196087093718</v>
      </c>
      <c r="L67" s="88">
        <f t="shared" si="2"/>
        <v>-5615.0430387756587</v>
      </c>
      <c r="M67" s="88">
        <f t="shared" si="3"/>
        <v>1427640.8395740357</v>
      </c>
    </row>
    <row r="68" spans="8:17" x14ac:dyDescent="0.3">
      <c r="H68" s="85">
        <v>57</v>
      </c>
      <c r="I68" s="88">
        <f t="shared" si="4"/>
        <v>1427640.8395740357</v>
      </c>
      <c r="J68" s="88">
        <f t="shared" si="0"/>
        <v>-10392.562647485031</v>
      </c>
      <c r="K68" s="88">
        <f t="shared" si="1"/>
        <v>-4758.8027985801191</v>
      </c>
      <c r="L68" s="88">
        <f t="shared" si="2"/>
        <v>-5633.7598489049115</v>
      </c>
      <c r="M68" s="88">
        <f t="shared" si="3"/>
        <v>1422007.0797251309</v>
      </c>
    </row>
    <row r="69" spans="8:17" x14ac:dyDescent="0.3">
      <c r="H69" s="85">
        <v>58</v>
      </c>
      <c r="I69" s="88">
        <f t="shared" si="4"/>
        <v>1422007.0797251309</v>
      </c>
      <c r="J69" s="88">
        <f t="shared" si="0"/>
        <v>-10392.562647485031</v>
      </c>
      <c r="K69" s="88">
        <f t="shared" si="1"/>
        <v>-4740.02359908377</v>
      </c>
      <c r="L69" s="88">
        <f t="shared" si="2"/>
        <v>-5652.5390484012605</v>
      </c>
      <c r="M69" s="88">
        <f t="shared" si="3"/>
        <v>1416354.5406767298</v>
      </c>
    </row>
    <row r="70" spans="8:17" x14ac:dyDescent="0.3">
      <c r="H70" s="85">
        <v>59</v>
      </c>
      <c r="I70" s="88">
        <f t="shared" si="4"/>
        <v>1416354.5406767298</v>
      </c>
      <c r="J70" s="88">
        <f t="shared" si="0"/>
        <v>-10392.562647485031</v>
      </c>
      <c r="K70" s="88">
        <f t="shared" si="1"/>
        <v>-4721.1818022557663</v>
      </c>
      <c r="L70" s="88">
        <f t="shared" si="2"/>
        <v>-5671.3808452292642</v>
      </c>
      <c r="M70" s="88">
        <f t="shared" si="3"/>
        <v>1410683.1598315004</v>
      </c>
      <c r="O70" s="90" t="s">
        <v>171</v>
      </c>
      <c r="P70" s="90" t="s">
        <v>172</v>
      </c>
      <c r="Q70" s="90" t="s">
        <v>170</v>
      </c>
    </row>
    <row r="71" spans="8:17" x14ac:dyDescent="0.3">
      <c r="H71" s="85">
        <v>60</v>
      </c>
      <c r="I71" s="88">
        <f t="shared" si="4"/>
        <v>1410683.1598315004</v>
      </c>
      <c r="J71" s="88">
        <f t="shared" si="0"/>
        <v>-10392.562647485031</v>
      </c>
      <c r="K71" s="88">
        <f t="shared" si="1"/>
        <v>-4702.2771994383347</v>
      </c>
      <c r="L71" s="88">
        <f t="shared" si="2"/>
        <v>-5690.2854480466958</v>
      </c>
      <c r="M71" s="89">
        <f t="shared" si="3"/>
        <v>1404992.8743834537</v>
      </c>
      <c r="O71" s="88">
        <f>SUM(K60:K71)</f>
        <v>-57661.31560022934</v>
      </c>
      <c r="P71" s="88">
        <f>SUM(L60:L71)</f>
        <v>-67049.436169591019</v>
      </c>
      <c r="Q71" s="88">
        <f>SUM(J60:J71)</f>
        <v>-124710.75176982036</v>
      </c>
    </row>
    <row r="72" spans="8:17" x14ac:dyDescent="0.3">
      <c r="H72" s="85">
        <v>61</v>
      </c>
      <c r="I72" s="88">
        <f t="shared" si="4"/>
        <v>1404992.8743834537</v>
      </c>
      <c r="J72" s="88">
        <f t="shared" si="0"/>
        <v>-10392.562647485031</v>
      </c>
      <c r="K72" s="88">
        <f t="shared" si="1"/>
        <v>-4683.3095812781794</v>
      </c>
      <c r="L72" s="88">
        <f t="shared" si="2"/>
        <v>-5709.2530662068511</v>
      </c>
      <c r="M72" s="88">
        <f t="shared" si="3"/>
        <v>1399283.6213172469</v>
      </c>
    </row>
    <row r="73" spans="8:17" x14ac:dyDescent="0.3">
      <c r="H73" s="85">
        <v>62</v>
      </c>
      <c r="I73" s="88">
        <f t="shared" si="4"/>
        <v>1399283.6213172469</v>
      </c>
      <c r="J73" s="88">
        <f t="shared" si="0"/>
        <v>-10392.562647485031</v>
      </c>
      <c r="K73" s="88">
        <f t="shared" si="1"/>
        <v>-4664.2787377241566</v>
      </c>
      <c r="L73" s="88">
        <f t="shared" si="2"/>
        <v>-5728.2839097608739</v>
      </c>
      <c r="M73" s="88">
        <f t="shared" si="3"/>
        <v>1393555.337407486</v>
      </c>
    </row>
    <row r="74" spans="8:17" x14ac:dyDescent="0.3">
      <c r="H74" s="85">
        <v>63</v>
      </c>
      <c r="I74" s="88">
        <f t="shared" si="4"/>
        <v>1393555.337407486</v>
      </c>
      <c r="J74" s="88">
        <f t="shared" si="0"/>
        <v>-10392.562647485031</v>
      </c>
      <c r="K74" s="88">
        <f t="shared" si="1"/>
        <v>-4645.1844580249535</v>
      </c>
      <c r="L74" s="88">
        <f t="shared" si="2"/>
        <v>-5747.378189460077</v>
      </c>
      <c r="M74" s="88">
        <f t="shared" si="3"/>
        <v>1387807.9592180259</v>
      </c>
    </row>
    <row r="75" spans="8:17" x14ac:dyDescent="0.3">
      <c r="H75" s="85">
        <v>64</v>
      </c>
      <c r="I75" s="88">
        <f t="shared" si="4"/>
        <v>1387807.9592180259</v>
      </c>
      <c r="J75" s="88">
        <f t="shared" si="0"/>
        <v>-10392.562647485031</v>
      </c>
      <c r="K75" s="88">
        <f t="shared" si="1"/>
        <v>-4626.0265307267537</v>
      </c>
      <c r="L75" s="88">
        <f t="shared" si="2"/>
        <v>-5766.5361167582769</v>
      </c>
      <c r="M75" s="88">
        <f t="shared" si="3"/>
        <v>1382041.4231012675</v>
      </c>
    </row>
    <row r="76" spans="8:17" x14ac:dyDescent="0.3">
      <c r="H76" s="85">
        <v>65</v>
      </c>
      <c r="I76" s="88">
        <f t="shared" si="4"/>
        <v>1382041.4231012675</v>
      </c>
      <c r="J76" s="88">
        <f t="shared" si="0"/>
        <v>-10392.562647485031</v>
      </c>
      <c r="K76" s="88">
        <f t="shared" si="1"/>
        <v>-4606.8047436708921</v>
      </c>
      <c r="L76" s="88">
        <f t="shared" si="2"/>
        <v>-5785.7579038141384</v>
      </c>
      <c r="M76" s="88">
        <f t="shared" si="3"/>
        <v>1376255.6651974535</v>
      </c>
    </row>
    <row r="77" spans="8:17" x14ac:dyDescent="0.3">
      <c r="H77" s="85">
        <v>66</v>
      </c>
      <c r="I77" s="88">
        <f t="shared" si="4"/>
        <v>1376255.6651974535</v>
      </c>
      <c r="J77" s="88">
        <f t="shared" ref="J77:J140" si="5">IF(AND($N$5,H77&lt;=$N$6),K77,PMT($H$6/$I$6,IF($N$5,$H$7-$N$6,$H$7),$H$5))</f>
        <v>-10392.562647485031</v>
      </c>
      <c r="K77" s="88">
        <f t="shared" ref="K77:K140" si="6">+$H$6/$I$6*M76*-1</f>
        <v>-4587.5188839915118</v>
      </c>
      <c r="L77" s="88">
        <f t="shared" ref="L77:L140" si="7">J77-K77</f>
        <v>-5805.0437634935188</v>
      </c>
      <c r="M77" s="88">
        <f t="shared" ref="M77:M140" si="8">I77+L77</f>
        <v>1370450.62143396</v>
      </c>
    </row>
    <row r="78" spans="8:17" x14ac:dyDescent="0.3">
      <c r="H78" s="85">
        <v>67</v>
      </c>
      <c r="I78" s="88">
        <f t="shared" ref="I78:I141" si="9">M77</f>
        <v>1370450.62143396</v>
      </c>
      <c r="J78" s="88">
        <f t="shared" si="5"/>
        <v>-10392.562647485031</v>
      </c>
      <c r="K78" s="88">
        <f t="shared" si="6"/>
        <v>-4568.1687381132006</v>
      </c>
      <c r="L78" s="88">
        <f t="shared" si="7"/>
        <v>-5824.39390937183</v>
      </c>
      <c r="M78" s="88">
        <f t="shared" si="8"/>
        <v>1364626.2275245881</v>
      </c>
    </row>
    <row r="79" spans="8:17" x14ac:dyDescent="0.3">
      <c r="H79" s="85">
        <v>68</v>
      </c>
      <c r="I79" s="88">
        <f t="shared" si="9"/>
        <v>1364626.2275245881</v>
      </c>
      <c r="J79" s="88">
        <f t="shared" si="5"/>
        <v>-10392.562647485031</v>
      </c>
      <c r="K79" s="88">
        <f t="shared" si="6"/>
        <v>-4548.7540917486276</v>
      </c>
      <c r="L79" s="88">
        <f t="shared" si="7"/>
        <v>-5843.8085557364029</v>
      </c>
      <c r="M79" s="88">
        <f t="shared" si="8"/>
        <v>1358782.4189688517</v>
      </c>
    </row>
    <row r="80" spans="8:17" x14ac:dyDescent="0.3">
      <c r="H80" s="85">
        <v>69</v>
      </c>
      <c r="I80" s="88">
        <f t="shared" si="9"/>
        <v>1358782.4189688517</v>
      </c>
      <c r="J80" s="88">
        <f t="shared" si="5"/>
        <v>-10392.562647485031</v>
      </c>
      <c r="K80" s="88">
        <f t="shared" si="6"/>
        <v>-4529.2747298961722</v>
      </c>
      <c r="L80" s="88">
        <f t="shared" si="7"/>
        <v>-5863.2879175888584</v>
      </c>
      <c r="M80" s="88">
        <f t="shared" si="8"/>
        <v>1352919.1310512628</v>
      </c>
    </row>
    <row r="81" spans="8:18" x14ac:dyDescent="0.3">
      <c r="H81" s="85">
        <v>70</v>
      </c>
      <c r="I81" s="88">
        <f t="shared" si="9"/>
        <v>1352919.1310512628</v>
      </c>
      <c r="J81" s="88">
        <f t="shared" si="5"/>
        <v>-10392.562647485031</v>
      </c>
      <c r="K81" s="88">
        <f t="shared" si="6"/>
        <v>-4509.7304368375435</v>
      </c>
      <c r="L81" s="88">
        <f t="shared" si="7"/>
        <v>-5882.832210647487</v>
      </c>
      <c r="M81" s="88">
        <f t="shared" si="8"/>
        <v>1347036.2988406154</v>
      </c>
    </row>
    <row r="82" spans="8:18" x14ac:dyDescent="0.3">
      <c r="H82" s="85">
        <v>71</v>
      </c>
      <c r="I82" s="88">
        <f t="shared" si="9"/>
        <v>1347036.2988406154</v>
      </c>
      <c r="J82" s="88">
        <f t="shared" si="5"/>
        <v>-10392.562647485031</v>
      </c>
      <c r="K82" s="88">
        <f t="shared" si="6"/>
        <v>-4490.1209961353852</v>
      </c>
      <c r="L82" s="88">
        <f t="shared" si="7"/>
        <v>-5902.4416513496453</v>
      </c>
      <c r="M82" s="88">
        <f t="shared" si="8"/>
        <v>1341133.8571892658</v>
      </c>
      <c r="O82" s="90" t="s">
        <v>171</v>
      </c>
      <c r="P82" s="90" t="s">
        <v>172</v>
      </c>
      <c r="Q82" s="90" t="s">
        <v>170</v>
      </c>
    </row>
    <row r="83" spans="8:18" x14ac:dyDescent="0.3">
      <c r="H83" s="85">
        <v>72</v>
      </c>
      <c r="I83" s="88">
        <f t="shared" si="9"/>
        <v>1341133.8571892658</v>
      </c>
      <c r="J83" s="88">
        <f t="shared" si="5"/>
        <v>-10392.562647485031</v>
      </c>
      <c r="K83" s="88">
        <f t="shared" si="6"/>
        <v>-4470.4461906308861</v>
      </c>
      <c r="L83" s="88">
        <f t="shared" si="7"/>
        <v>-5922.1164568541444</v>
      </c>
      <c r="M83" s="89">
        <f t="shared" si="8"/>
        <v>1335211.7407324116</v>
      </c>
      <c r="O83" s="88">
        <f>SUM(K72:K83)</f>
        <v>-54929.618118778249</v>
      </c>
      <c r="P83" s="88">
        <f>SUM(L72:L83)</f>
        <v>-69781.13365104211</v>
      </c>
      <c r="Q83" s="88">
        <f>SUM(J72:J83)</f>
        <v>-124710.75176982036</v>
      </c>
      <c r="R83" s="88"/>
    </row>
    <row r="84" spans="8:18" x14ac:dyDescent="0.3">
      <c r="H84" s="85">
        <v>73</v>
      </c>
      <c r="I84" s="88">
        <f t="shared" si="9"/>
        <v>1335211.7407324116</v>
      </c>
      <c r="J84" s="88">
        <f t="shared" si="5"/>
        <v>-10392.562647485031</v>
      </c>
      <c r="K84" s="88">
        <f t="shared" si="6"/>
        <v>-4450.7058024413727</v>
      </c>
      <c r="L84" s="88">
        <f t="shared" si="7"/>
        <v>-5941.8568450436578</v>
      </c>
      <c r="M84" s="88">
        <f t="shared" si="8"/>
        <v>1329269.883887368</v>
      </c>
    </row>
    <row r="85" spans="8:18" x14ac:dyDescent="0.3">
      <c r="H85" s="85">
        <v>74</v>
      </c>
      <c r="I85" s="88">
        <f t="shared" si="9"/>
        <v>1329269.883887368</v>
      </c>
      <c r="J85" s="88">
        <f t="shared" si="5"/>
        <v>-10392.562647485031</v>
      </c>
      <c r="K85" s="88">
        <f t="shared" si="6"/>
        <v>-4430.8996129578936</v>
      </c>
      <c r="L85" s="88">
        <f t="shared" si="7"/>
        <v>-5961.6630345271369</v>
      </c>
      <c r="M85" s="88">
        <f t="shared" si="8"/>
        <v>1323308.2208528409</v>
      </c>
    </row>
    <row r="86" spans="8:18" x14ac:dyDescent="0.3">
      <c r="H86" s="85">
        <v>75</v>
      </c>
      <c r="I86" s="88">
        <f t="shared" si="9"/>
        <v>1323308.2208528409</v>
      </c>
      <c r="J86" s="88">
        <f t="shared" si="5"/>
        <v>-10392.562647485031</v>
      </c>
      <c r="K86" s="88">
        <f t="shared" si="6"/>
        <v>-4411.027402842803</v>
      </c>
      <c r="L86" s="88">
        <f t="shared" si="7"/>
        <v>-5981.5352446422276</v>
      </c>
      <c r="M86" s="88">
        <f t="shared" si="8"/>
        <v>1317326.6856081986</v>
      </c>
    </row>
    <row r="87" spans="8:18" x14ac:dyDescent="0.3">
      <c r="H87" s="85">
        <v>76</v>
      </c>
      <c r="I87" s="88">
        <f t="shared" si="9"/>
        <v>1317326.6856081986</v>
      </c>
      <c r="J87" s="88">
        <f t="shared" si="5"/>
        <v>-10392.562647485031</v>
      </c>
      <c r="K87" s="88">
        <f t="shared" si="6"/>
        <v>-4391.0889520273295</v>
      </c>
      <c r="L87" s="88">
        <f t="shared" si="7"/>
        <v>-6001.4736954577011</v>
      </c>
      <c r="M87" s="88">
        <f t="shared" si="8"/>
        <v>1311325.211912741</v>
      </c>
    </row>
    <row r="88" spans="8:18" x14ac:dyDescent="0.3">
      <c r="H88" s="85">
        <v>77</v>
      </c>
      <c r="I88" s="88">
        <f t="shared" si="9"/>
        <v>1311325.211912741</v>
      </c>
      <c r="J88" s="88">
        <f t="shared" si="5"/>
        <v>-10392.562647485031</v>
      </c>
      <c r="K88" s="88">
        <f t="shared" si="6"/>
        <v>-4371.084039709137</v>
      </c>
      <c r="L88" s="88">
        <f t="shared" si="7"/>
        <v>-6021.4786077758936</v>
      </c>
      <c r="M88" s="88">
        <f t="shared" si="8"/>
        <v>1305303.7333049651</v>
      </c>
    </row>
    <row r="89" spans="8:18" x14ac:dyDescent="0.3">
      <c r="H89" s="85">
        <v>78</v>
      </c>
      <c r="I89" s="88">
        <f t="shared" si="9"/>
        <v>1305303.7333049651</v>
      </c>
      <c r="J89" s="88">
        <f t="shared" si="5"/>
        <v>-10392.562647485031</v>
      </c>
      <c r="K89" s="88">
        <f t="shared" si="6"/>
        <v>-4351.0124443498835</v>
      </c>
      <c r="L89" s="88">
        <f t="shared" si="7"/>
        <v>-6041.5502031351471</v>
      </c>
      <c r="M89" s="88">
        <f t="shared" si="8"/>
        <v>1299262.1831018298</v>
      </c>
    </row>
    <row r="90" spans="8:18" x14ac:dyDescent="0.3">
      <c r="H90" s="85">
        <v>79</v>
      </c>
      <c r="I90" s="88">
        <f t="shared" si="9"/>
        <v>1299262.1831018298</v>
      </c>
      <c r="J90" s="88">
        <f t="shared" si="5"/>
        <v>-10392.562647485031</v>
      </c>
      <c r="K90" s="88">
        <f t="shared" si="6"/>
        <v>-4330.8739436727665</v>
      </c>
      <c r="L90" s="88">
        <f t="shared" si="7"/>
        <v>-6061.6887038122641</v>
      </c>
      <c r="M90" s="88">
        <f t="shared" si="8"/>
        <v>1293200.4943980176</v>
      </c>
    </row>
    <row r="91" spans="8:18" x14ac:dyDescent="0.3">
      <c r="H91" s="85">
        <v>80</v>
      </c>
      <c r="I91" s="88">
        <f t="shared" si="9"/>
        <v>1293200.4943980176</v>
      </c>
      <c r="J91" s="88">
        <f t="shared" si="5"/>
        <v>-10392.562647485031</v>
      </c>
      <c r="K91" s="88">
        <f t="shared" si="6"/>
        <v>-4310.668314660059</v>
      </c>
      <c r="L91" s="88">
        <f t="shared" si="7"/>
        <v>-6081.8943328249716</v>
      </c>
      <c r="M91" s="88">
        <f t="shared" si="8"/>
        <v>1287118.6000651927</v>
      </c>
    </row>
    <row r="92" spans="8:18" x14ac:dyDescent="0.3">
      <c r="H92" s="85">
        <v>81</v>
      </c>
      <c r="I92" s="88">
        <f t="shared" si="9"/>
        <v>1287118.6000651927</v>
      </c>
      <c r="J92" s="88">
        <f t="shared" si="5"/>
        <v>-10392.562647485031</v>
      </c>
      <c r="K92" s="88">
        <f t="shared" si="6"/>
        <v>-4290.3953335506421</v>
      </c>
      <c r="L92" s="88">
        <f t="shared" si="7"/>
        <v>-6102.1673139343884</v>
      </c>
      <c r="M92" s="88">
        <f t="shared" si="8"/>
        <v>1281016.4327512584</v>
      </c>
    </row>
    <row r="93" spans="8:18" x14ac:dyDescent="0.3">
      <c r="H93" s="85">
        <v>82</v>
      </c>
      <c r="I93" s="88">
        <f t="shared" si="9"/>
        <v>1281016.4327512584</v>
      </c>
      <c r="J93" s="88">
        <f t="shared" si="5"/>
        <v>-10392.562647485031</v>
      </c>
      <c r="K93" s="88">
        <f t="shared" si="6"/>
        <v>-4270.0547758375278</v>
      </c>
      <c r="L93" s="88">
        <f t="shared" si="7"/>
        <v>-6122.5078716475027</v>
      </c>
      <c r="M93" s="88">
        <f t="shared" si="8"/>
        <v>1274893.9248796108</v>
      </c>
    </row>
    <row r="94" spans="8:18" x14ac:dyDescent="0.3">
      <c r="H94" s="85">
        <v>83</v>
      </c>
      <c r="I94" s="88">
        <f t="shared" si="9"/>
        <v>1274893.9248796108</v>
      </c>
      <c r="J94" s="88">
        <f t="shared" si="5"/>
        <v>-10392.562647485031</v>
      </c>
      <c r="K94" s="88">
        <f t="shared" si="6"/>
        <v>-4249.6464162653692</v>
      </c>
      <c r="L94" s="88">
        <f t="shared" si="7"/>
        <v>-6142.9162312196613</v>
      </c>
      <c r="M94" s="88">
        <f t="shared" si="8"/>
        <v>1268751.0086483911</v>
      </c>
      <c r="O94" s="90" t="s">
        <v>171</v>
      </c>
      <c r="P94" s="90" t="s">
        <v>172</v>
      </c>
      <c r="Q94" s="90" t="s">
        <v>170</v>
      </c>
    </row>
    <row r="95" spans="8:18" x14ac:dyDescent="0.3">
      <c r="H95" s="85">
        <v>84</v>
      </c>
      <c r="I95" s="88">
        <f t="shared" si="9"/>
        <v>1268751.0086483911</v>
      </c>
      <c r="J95" s="88">
        <f t="shared" si="5"/>
        <v>-10392.562647485031</v>
      </c>
      <c r="K95" s="88">
        <f t="shared" si="6"/>
        <v>-4229.1700288279708</v>
      </c>
      <c r="L95" s="88">
        <f t="shared" si="7"/>
        <v>-6163.3926186570598</v>
      </c>
      <c r="M95" s="89">
        <f t="shared" si="8"/>
        <v>1262587.616029734</v>
      </c>
      <c r="O95" s="88">
        <f>SUM(K84:K95)</f>
        <v>-52086.627067142756</v>
      </c>
      <c r="P95" s="88">
        <f>SUM(L84:L95)</f>
        <v>-72624.124702677625</v>
      </c>
      <c r="Q95" s="88">
        <f>SUM(J84:J95)</f>
        <v>-124710.75176982036</v>
      </c>
      <c r="R95" s="88"/>
    </row>
    <row r="96" spans="8:18" x14ac:dyDescent="0.3">
      <c r="H96" s="85">
        <v>85</v>
      </c>
      <c r="I96" s="88">
        <f t="shared" si="9"/>
        <v>1262587.616029734</v>
      </c>
      <c r="J96" s="88">
        <f t="shared" si="5"/>
        <v>-10392.562647485031</v>
      </c>
      <c r="K96" s="88">
        <f t="shared" si="6"/>
        <v>-4208.6253867657806</v>
      </c>
      <c r="L96" s="88">
        <f t="shared" si="7"/>
        <v>-6183.9372607192499</v>
      </c>
      <c r="M96" s="88">
        <f t="shared" si="8"/>
        <v>1256403.6787690148</v>
      </c>
    </row>
    <row r="97" spans="8:17" x14ac:dyDescent="0.3">
      <c r="H97" s="85">
        <v>86</v>
      </c>
      <c r="I97" s="88">
        <f t="shared" si="9"/>
        <v>1256403.6787690148</v>
      </c>
      <c r="J97" s="88">
        <f t="shared" si="5"/>
        <v>-10392.562647485031</v>
      </c>
      <c r="K97" s="88">
        <f t="shared" si="6"/>
        <v>-4188.012262563383</v>
      </c>
      <c r="L97" s="88">
        <f t="shared" si="7"/>
        <v>-6204.5503849216475</v>
      </c>
      <c r="M97" s="88">
        <f t="shared" si="8"/>
        <v>1250199.1283840931</v>
      </c>
    </row>
    <row r="98" spans="8:17" x14ac:dyDescent="0.3">
      <c r="H98" s="85">
        <v>87</v>
      </c>
      <c r="I98" s="88">
        <f t="shared" si="9"/>
        <v>1250199.1283840931</v>
      </c>
      <c r="J98" s="88">
        <f t="shared" si="5"/>
        <v>-10392.562647485031</v>
      </c>
      <c r="K98" s="88">
        <f t="shared" si="6"/>
        <v>-4167.3304279469767</v>
      </c>
      <c r="L98" s="88">
        <f t="shared" si="7"/>
        <v>-6225.2322195380539</v>
      </c>
      <c r="M98" s="88">
        <f t="shared" si="8"/>
        <v>1243973.8961645551</v>
      </c>
    </row>
    <row r="99" spans="8:17" x14ac:dyDescent="0.3">
      <c r="H99" s="85">
        <v>88</v>
      </c>
      <c r="I99" s="88">
        <f t="shared" si="9"/>
        <v>1243973.8961645551</v>
      </c>
      <c r="J99" s="88">
        <f t="shared" si="5"/>
        <v>-10392.562647485031</v>
      </c>
      <c r="K99" s="88">
        <f t="shared" si="6"/>
        <v>-4146.5796538818504</v>
      </c>
      <c r="L99" s="88">
        <f t="shared" si="7"/>
        <v>-6245.9829936031801</v>
      </c>
      <c r="M99" s="88">
        <f t="shared" si="8"/>
        <v>1237727.9131709519</v>
      </c>
    </row>
    <row r="100" spans="8:17" x14ac:dyDescent="0.3">
      <c r="H100" s="85">
        <v>89</v>
      </c>
      <c r="I100" s="88">
        <f t="shared" si="9"/>
        <v>1237727.9131709519</v>
      </c>
      <c r="J100" s="88">
        <f t="shared" si="5"/>
        <v>-10392.562647485031</v>
      </c>
      <c r="K100" s="88">
        <f t="shared" si="6"/>
        <v>-4125.7597105698396</v>
      </c>
      <c r="L100" s="88">
        <f t="shared" si="7"/>
        <v>-6266.8029369151909</v>
      </c>
      <c r="M100" s="88">
        <f t="shared" si="8"/>
        <v>1231461.1102340368</v>
      </c>
    </row>
    <row r="101" spans="8:17" x14ac:dyDescent="0.3">
      <c r="H101" s="85">
        <v>90</v>
      </c>
      <c r="I101" s="88">
        <f t="shared" si="9"/>
        <v>1231461.1102340368</v>
      </c>
      <c r="J101" s="88">
        <f t="shared" si="5"/>
        <v>-10392.562647485031</v>
      </c>
      <c r="K101" s="88">
        <f t="shared" si="6"/>
        <v>-4104.8703674467897</v>
      </c>
      <c r="L101" s="88">
        <f t="shared" si="7"/>
        <v>-6287.6922800382408</v>
      </c>
      <c r="M101" s="88">
        <f t="shared" si="8"/>
        <v>1225173.4179539985</v>
      </c>
    </row>
    <row r="102" spans="8:17" x14ac:dyDescent="0.3">
      <c r="H102" s="85">
        <v>91</v>
      </c>
      <c r="I102" s="88">
        <f t="shared" si="9"/>
        <v>1225173.4179539985</v>
      </c>
      <c r="J102" s="88">
        <f t="shared" si="5"/>
        <v>-10392.562647485031</v>
      </c>
      <c r="K102" s="88">
        <f t="shared" si="6"/>
        <v>-4083.9113931799952</v>
      </c>
      <c r="L102" s="88">
        <f t="shared" si="7"/>
        <v>-6308.6512543050358</v>
      </c>
      <c r="M102" s="88">
        <f t="shared" si="8"/>
        <v>1218864.7666996934</v>
      </c>
    </row>
    <row r="103" spans="8:17" x14ac:dyDescent="0.3">
      <c r="H103" s="85">
        <v>92</v>
      </c>
      <c r="I103" s="88">
        <f t="shared" si="9"/>
        <v>1218864.7666996934</v>
      </c>
      <c r="J103" s="88">
        <f t="shared" si="5"/>
        <v>-10392.562647485031</v>
      </c>
      <c r="K103" s="88">
        <f t="shared" si="6"/>
        <v>-4062.8825556656448</v>
      </c>
      <c r="L103" s="88">
        <f t="shared" si="7"/>
        <v>-6329.6800918193858</v>
      </c>
      <c r="M103" s="88">
        <f t="shared" si="8"/>
        <v>1212535.0866078739</v>
      </c>
    </row>
    <row r="104" spans="8:17" x14ac:dyDescent="0.3">
      <c r="H104" s="85">
        <v>93</v>
      </c>
      <c r="I104" s="88">
        <f t="shared" si="9"/>
        <v>1212535.0866078739</v>
      </c>
      <c r="J104" s="88">
        <f t="shared" si="5"/>
        <v>-10392.562647485031</v>
      </c>
      <c r="K104" s="88">
        <f t="shared" si="6"/>
        <v>-4041.7836220262466</v>
      </c>
      <c r="L104" s="88">
        <f t="shared" si="7"/>
        <v>-6350.7790254587835</v>
      </c>
      <c r="M104" s="88">
        <f t="shared" si="8"/>
        <v>1206184.3075824152</v>
      </c>
    </row>
    <row r="105" spans="8:17" x14ac:dyDescent="0.3">
      <c r="H105" s="85">
        <v>94</v>
      </c>
      <c r="I105" s="88">
        <f t="shared" si="9"/>
        <v>1206184.3075824152</v>
      </c>
      <c r="J105" s="88">
        <f t="shared" si="5"/>
        <v>-10392.562647485031</v>
      </c>
      <c r="K105" s="88">
        <f t="shared" si="6"/>
        <v>-4020.6143586080507</v>
      </c>
      <c r="L105" s="88">
        <f t="shared" si="7"/>
        <v>-6371.9482888769799</v>
      </c>
      <c r="M105" s="88">
        <f t="shared" si="8"/>
        <v>1199812.3592935381</v>
      </c>
    </row>
    <row r="106" spans="8:17" x14ac:dyDescent="0.3">
      <c r="H106" s="85">
        <v>95</v>
      </c>
      <c r="I106" s="88">
        <f t="shared" si="9"/>
        <v>1199812.3592935381</v>
      </c>
      <c r="J106" s="88">
        <f t="shared" si="5"/>
        <v>-10392.562647485031</v>
      </c>
      <c r="K106" s="88">
        <f t="shared" si="6"/>
        <v>-3999.3745309784608</v>
      </c>
      <c r="L106" s="88">
        <f t="shared" si="7"/>
        <v>-6393.1881165065697</v>
      </c>
      <c r="M106" s="88">
        <f t="shared" si="8"/>
        <v>1193419.1711770315</v>
      </c>
      <c r="O106" s="90" t="s">
        <v>171</v>
      </c>
      <c r="P106" s="90" t="s">
        <v>172</v>
      </c>
      <c r="Q106" s="90" t="s">
        <v>170</v>
      </c>
    </row>
    <row r="107" spans="8:17" x14ac:dyDescent="0.3">
      <c r="H107" s="85">
        <v>96</v>
      </c>
      <c r="I107" s="88">
        <f t="shared" si="9"/>
        <v>1193419.1711770315</v>
      </c>
      <c r="J107" s="88">
        <f t="shared" si="5"/>
        <v>-10392.562647485031</v>
      </c>
      <c r="K107" s="88">
        <f t="shared" si="6"/>
        <v>-3978.0639039234384</v>
      </c>
      <c r="L107" s="88">
        <f t="shared" si="7"/>
        <v>-6414.4987435615922</v>
      </c>
      <c r="M107" s="89">
        <f t="shared" si="8"/>
        <v>1187004.6724334699</v>
      </c>
      <c r="O107" s="88">
        <f>SUM(K96:K107)</f>
        <v>-49127.808173556463</v>
      </c>
      <c r="P107" s="88">
        <f>SUM(L96:L107)</f>
        <v>-75582.943596263896</v>
      </c>
      <c r="Q107" s="88">
        <f>SUM(J96:J107)</f>
        <v>-124710.75176982036</v>
      </c>
    </row>
    <row r="108" spans="8:17" x14ac:dyDescent="0.3">
      <c r="H108" s="85">
        <v>97</v>
      </c>
      <c r="I108" s="88">
        <f t="shared" si="9"/>
        <v>1187004.6724334699</v>
      </c>
      <c r="J108" s="88">
        <f t="shared" si="5"/>
        <v>-10392.562647485031</v>
      </c>
      <c r="K108" s="88">
        <f t="shared" si="6"/>
        <v>-3956.6822414448998</v>
      </c>
      <c r="L108" s="88">
        <f t="shared" si="7"/>
        <v>-6435.8804060401308</v>
      </c>
      <c r="M108" s="88">
        <f t="shared" si="8"/>
        <v>1180568.7920274297</v>
      </c>
    </row>
    <row r="109" spans="8:17" x14ac:dyDescent="0.3">
      <c r="H109" s="85">
        <v>98</v>
      </c>
      <c r="I109" s="88">
        <f t="shared" si="9"/>
        <v>1180568.7920274297</v>
      </c>
      <c r="J109" s="88">
        <f t="shared" si="5"/>
        <v>-10392.562647485031</v>
      </c>
      <c r="K109" s="88">
        <f t="shared" si="6"/>
        <v>-3935.229306758099</v>
      </c>
      <c r="L109" s="88">
        <f t="shared" si="7"/>
        <v>-6457.3333407269311</v>
      </c>
      <c r="M109" s="88">
        <f t="shared" si="8"/>
        <v>1174111.4586867027</v>
      </c>
    </row>
    <row r="110" spans="8:17" x14ac:dyDescent="0.3">
      <c r="H110" s="85">
        <v>99</v>
      </c>
      <c r="I110" s="88">
        <f t="shared" si="9"/>
        <v>1174111.4586867027</v>
      </c>
      <c r="J110" s="88">
        <f t="shared" si="5"/>
        <v>-10392.562647485031</v>
      </c>
      <c r="K110" s="88">
        <f t="shared" si="6"/>
        <v>-3913.7048622890093</v>
      </c>
      <c r="L110" s="88">
        <f t="shared" si="7"/>
        <v>-6478.8577851960217</v>
      </c>
      <c r="M110" s="88">
        <f t="shared" si="8"/>
        <v>1167632.6009015066</v>
      </c>
    </row>
    <row r="111" spans="8:17" x14ac:dyDescent="0.3">
      <c r="H111" s="85">
        <v>100</v>
      </c>
      <c r="I111" s="88">
        <f t="shared" si="9"/>
        <v>1167632.6009015066</v>
      </c>
      <c r="J111" s="88">
        <f t="shared" si="5"/>
        <v>-10392.562647485031</v>
      </c>
      <c r="K111" s="88">
        <f t="shared" si="6"/>
        <v>-3892.1086696716889</v>
      </c>
      <c r="L111" s="88">
        <f t="shared" si="7"/>
        <v>-6500.4539778133421</v>
      </c>
      <c r="M111" s="88">
        <f t="shared" si="8"/>
        <v>1161132.1469236934</v>
      </c>
    </row>
    <row r="112" spans="8:17" x14ac:dyDescent="0.3">
      <c r="H112" s="85">
        <v>101</v>
      </c>
      <c r="I112" s="88">
        <f t="shared" si="9"/>
        <v>1161132.1469236934</v>
      </c>
      <c r="J112" s="88">
        <f t="shared" si="5"/>
        <v>-10392.562647485031</v>
      </c>
      <c r="K112" s="88">
        <f t="shared" si="6"/>
        <v>-3870.4404897456448</v>
      </c>
      <c r="L112" s="88">
        <f t="shared" si="7"/>
        <v>-6522.1221577393862</v>
      </c>
      <c r="M112" s="88">
        <f t="shared" si="8"/>
        <v>1154610.0247659539</v>
      </c>
    </row>
    <row r="113" spans="8:18" x14ac:dyDescent="0.3">
      <c r="H113" s="85">
        <v>102</v>
      </c>
      <c r="I113" s="88">
        <f t="shared" si="9"/>
        <v>1154610.0247659539</v>
      </c>
      <c r="J113" s="88">
        <f t="shared" si="5"/>
        <v>-10392.562647485031</v>
      </c>
      <c r="K113" s="88">
        <f t="shared" si="6"/>
        <v>-3848.70008255318</v>
      </c>
      <c r="L113" s="88">
        <f t="shared" si="7"/>
        <v>-6543.862564931851</v>
      </c>
      <c r="M113" s="88">
        <f t="shared" si="8"/>
        <v>1148066.162201022</v>
      </c>
    </row>
    <row r="114" spans="8:18" x14ac:dyDescent="0.3">
      <c r="H114" s="85">
        <v>103</v>
      </c>
      <c r="I114" s="88">
        <f t="shared" si="9"/>
        <v>1148066.162201022</v>
      </c>
      <c r="J114" s="88">
        <f t="shared" si="5"/>
        <v>-10392.562647485031</v>
      </c>
      <c r="K114" s="88">
        <f t="shared" si="6"/>
        <v>-3826.8872073367402</v>
      </c>
      <c r="L114" s="88">
        <f t="shared" si="7"/>
        <v>-6565.6754401482904</v>
      </c>
      <c r="M114" s="88">
        <f t="shared" si="8"/>
        <v>1141500.4867608738</v>
      </c>
    </row>
    <row r="115" spans="8:18" x14ac:dyDescent="0.3">
      <c r="H115" s="85">
        <v>104</v>
      </c>
      <c r="I115" s="88">
        <f t="shared" si="9"/>
        <v>1141500.4867608738</v>
      </c>
      <c r="J115" s="88">
        <f t="shared" si="5"/>
        <v>-10392.562647485031</v>
      </c>
      <c r="K115" s="88">
        <f t="shared" si="6"/>
        <v>-3805.0016225362465</v>
      </c>
      <c r="L115" s="88">
        <f t="shared" si="7"/>
        <v>-6587.5610249487836</v>
      </c>
      <c r="M115" s="88">
        <f t="shared" si="8"/>
        <v>1134912.9257359251</v>
      </c>
    </row>
    <row r="116" spans="8:18" x14ac:dyDescent="0.3">
      <c r="H116" s="85">
        <v>105</v>
      </c>
      <c r="I116" s="88">
        <f t="shared" si="9"/>
        <v>1134912.9257359251</v>
      </c>
      <c r="J116" s="88">
        <f t="shared" si="5"/>
        <v>-10392.562647485031</v>
      </c>
      <c r="K116" s="88">
        <f t="shared" si="6"/>
        <v>-3783.0430857864171</v>
      </c>
      <c r="L116" s="88">
        <f t="shared" si="7"/>
        <v>-6609.519561698613</v>
      </c>
      <c r="M116" s="88">
        <f t="shared" si="8"/>
        <v>1128303.4061742264</v>
      </c>
    </row>
    <row r="117" spans="8:18" x14ac:dyDescent="0.3">
      <c r="H117" s="85">
        <v>106</v>
      </c>
      <c r="I117" s="88">
        <f t="shared" si="9"/>
        <v>1128303.4061742264</v>
      </c>
      <c r="J117" s="88">
        <f t="shared" si="5"/>
        <v>-10392.562647485031</v>
      </c>
      <c r="K117" s="88">
        <f t="shared" si="6"/>
        <v>-3761.0113539140884</v>
      </c>
      <c r="L117" s="88">
        <f t="shared" si="7"/>
        <v>-6631.5512935709421</v>
      </c>
      <c r="M117" s="88">
        <f t="shared" si="8"/>
        <v>1121671.8548806554</v>
      </c>
    </row>
    <row r="118" spans="8:18" x14ac:dyDescent="0.3">
      <c r="H118" s="85">
        <v>107</v>
      </c>
      <c r="I118" s="88">
        <f t="shared" si="9"/>
        <v>1121671.8548806554</v>
      </c>
      <c r="J118" s="88">
        <f t="shared" si="5"/>
        <v>-10392.562647485031</v>
      </c>
      <c r="K118" s="88">
        <f t="shared" si="6"/>
        <v>-3738.9061829355182</v>
      </c>
      <c r="L118" s="88">
        <f t="shared" si="7"/>
        <v>-6653.6564645495127</v>
      </c>
      <c r="M118" s="88">
        <f t="shared" si="8"/>
        <v>1115018.1984161059</v>
      </c>
      <c r="O118" s="90" t="s">
        <v>171</v>
      </c>
      <c r="P118" s="90" t="s">
        <v>172</v>
      </c>
      <c r="Q118" s="90" t="s">
        <v>170</v>
      </c>
    </row>
    <row r="119" spans="8:18" x14ac:dyDescent="0.3">
      <c r="H119" s="85">
        <v>108</v>
      </c>
      <c r="I119" s="88">
        <f t="shared" si="9"/>
        <v>1115018.1984161059</v>
      </c>
      <c r="J119" s="88">
        <f t="shared" si="5"/>
        <v>-10392.562647485031</v>
      </c>
      <c r="K119" s="88">
        <f t="shared" si="6"/>
        <v>-3716.7273280536865</v>
      </c>
      <c r="L119" s="88">
        <f t="shared" si="7"/>
        <v>-6675.835319431344</v>
      </c>
      <c r="M119" s="89">
        <f t="shared" si="8"/>
        <v>1108342.3630966747</v>
      </c>
      <c r="O119" s="88">
        <f>SUM(K108:K119)</f>
        <v>-46048.442433025222</v>
      </c>
      <c r="P119" s="88">
        <f>SUM(L108:L119)</f>
        <v>-78662.309336795137</v>
      </c>
      <c r="Q119" s="88">
        <f>SUM(J108:J119)</f>
        <v>-124710.75176982036</v>
      </c>
      <c r="R119" s="88"/>
    </row>
    <row r="120" spans="8:18" x14ac:dyDescent="0.3">
      <c r="H120" s="85">
        <v>109</v>
      </c>
      <c r="I120" s="88">
        <f t="shared" si="9"/>
        <v>1108342.3630966747</v>
      </c>
      <c r="J120" s="88">
        <f t="shared" si="5"/>
        <v>-10392.562647485031</v>
      </c>
      <c r="K120" s="88">
        <f t="shared" si="6"/>
        <v>-3694.4745436555827</v>
      </c>
      <c r="L120" s="88">
        <f t="shared" si="7"/>
        <v>-6698.0881038294483</v>
      </c>
      <c r="M120" s="88">
        <f t="shared" si="8"/>
        <v>1101644.2749928453</v>
      </c>
    </row>
    <row r="121" spans="8:18" x14ac:dyDescent="0.3">
      <c r="H121" s="85">
        <v>110</v>
      </c>
      <c r="I121" s="88">
        <f t="shared" si="9"/>
        <v>1101644.2749928453</v>
      </c>
      <c r="J121" s="88">
        <f t="shared" si="5"/>
        <v>-10392.562647485031</v>
      </c>
      <c r="K121" s="88">
        <f t="shared" si="6"/>
        <v>-3672.1475833094846</v>
      </c>
      <c r="L121" s="88">
        <f t="shared" si="7"/>
        <v>-6720.4150641755459</v>
      </c>
      <c r="M121" s="88">
        <f t="shared" si="8"/>
        <v>1094923.8599286696</v>
      </c>
    </row>
    <row r="122" spans="8:18" x14ac:dyDescent="0.3">
      <c r="H122" s="85">
        <v>111</v>
      </c>
      <c r="I122" s="88">
        <f t="shared" si="9"/>
        <v>1094923.8599286696</v>
      </c>
      <c r="J122" s="88">
        <f t="shared" si="5"/>
        <v>-10392.562647485031</v>
      </c>
      <c r="K122" s="88">
        <f t="shared" si="6"/>
        <v>-3649.7461997622322</v>
      </c>
      <c r="L122" s="88">
        <f t="shared" si="7"/>
        <v>-6742.8164477227983</v>
      </c>
      <c r="M122" s="88">
        <f t="shared" si="8"/>
        <v>1088181.0434809469</v>
      </c>
    </row>
    <row r="123" spans="8:18" x14ac:dyDescent="0.3">
      <c r="H123" s="85">
        <v>112</v>
      </c>
      <c r="I123" s="88">
        <f t="shared" si="9"/>
        <v>1088181.0434809469</v>
      </c>
      <c r="J123" s="88">
        <f t="shared" si="5"/>
        <v>-10392.562647485031</v>
      </c>
      <c r="K123" s="88">
        <f t="shared" si="6"/>
        <v>-3627.2701449364899</v>
      </c>
      <c r="L123" s="88">
        <f t="shared" si="7"/>
        <v>-6765.2925025485401</v>
      </c>
      <c r="M123" s="88">
        <f t="shared" si="8"/>
        <v>1081415.7509783984</v>
      </c>
    </row>
    <row r="124" spans="8:18" x14ac:dyDescent="0.3">
      <c r="H124" s="85">
        <v>113</v>
      </c>
      <c r="I124" s="88">
        <f t="shared" si="9"/>
        <v>1081415.7509783984</v>
      </c>
      <c r="J124" s="88">
        <f t="shared" si="5"/>
        <v>-10392.562647485031</v>
      </c>
      <c r="K124" s="88">
        <f t="shared" si="6"/>
        <v>-3604.7191699279947</v>
      </c>
      <c r="L124" s="88">
        <f t="shared" si="7"/>
        <v>-6787.8434775570358</v>
      </c>
      <c r="M124" s="88">
        <f t="shared" si="8"/>
        <v>1074627.9075008414</v>
      </c>
    </row>
    <row r="125" spans="8:18" x14ac:dyDescent="0.3">
      <c r="H125" s="85">
        <v>114</v>
      </c>
      <c r="I125" s="88">
        <f t="shared" si="9"/>
        <v>1074627.9075008414</v>
      </c>
      <c r="J125" s="88">
        <f t="shared" si="5"/>
        <v>-10392.562647485031</v>
      </c>
      <c r="K125" s="88">
        <f t="shared" si="6"/>
        <v>-3582.093025002805</v>
      </c>
      <c r="L125" s="88">
        <f t="shared" si="7"/>
        <v>-6810.4696224822255</v>
      </c>
      <c r="M125" s="88">
        <f t="shared" si="8"/>
        <v>1067817.4378783591</v>
      </c>
    </row>
    <row r="126" spans="8:18" x14ac:dyDescent="0.3">
      <c r="H126" s="85">
        <v>115</v>
      </c>
      <c r="I126" s="88">
        <f t="shared" si="9"/>
        <v>1067817.4378783591</v>
      </c>
      <c r="J126" s="88">
        <f t="shared" si="5"/>
        <v>-10392.562647485031</v>
      </c>
      <c r="K126" s="88">
        <f t="shared" si="6"/>
        <v>-3559.3914595945307</v>
      </c>
      <c r="L126" s="88">
        <f t="shared" si="7"/>
        <v>-6833.1711878904998</v>
      </c>
      <c r="M126" s="88">
        <f t="shared" si="8"/>
        <v>1060984.2666904686</v>
      </c>
    </row>
    <row r="127" spans="8:18" x14ac:dyDescent="0.3">
      <c r="H127" s="85">
        <v>116</v>
      </c>
      <c r="I127" s="88">
        <f t="shared" si="9"/>
        <v>1060984.2666904686</v>
      </c>
      <c r="J127" s="88">
        <f t="shared" si="5"/>
        <v>-10392.562647485031</v>
      </c>
      <c r="K127" s="88">
        <f t="shared" si="6"/>
        <v>-3536.6142223015622</v>
      </c>
      <c r="L127" s="88">
        <f t="shared" si="7"/>
        <v>-6855.9484251834683</v>
      </c>
      <c r="M127" s="88">
        <f t="shared" si="8"/>
        <v>1054128.3182652851</v>
      </c>
    </row>
    <row r="128" spans="8:18" x14ac:dyDescent="0.3">
      <c r="H128" s="85">
        <v>117</v>
      </c>
      <c r="I128" s="88">
        <f t="shared" si="9"/>
        <v>1054128.3182652851</v>
      </c>
      <c r="J128" s="88">
        <f t="shared" si="5"/>
        <v>-10392.562647485031</v>
      </c>
      <c r="K128" s="88">
        <f t="shared" si="6"/>
        <v>-3513.7610608842838</v>
      </c>
      <c r="L128" s="88">
        <f t="shared" si="7"/>
        <v>-6878.8015866007463</v>
      </c>
      <c r="M128" s="88">
        <f t="shared" si="8"/>
        <v>1047249.5166786844</v>
      </c>
    </row>
    <row r="129" spans="8:18" x14ac:dyDescent="0.3">
      <c r="H129" s="85">
        <v>118</v>
      </c>
      <c r="I129" s="88">
        <f t="shared" si="9"/>
        <v>1047249.5166786844</v>
      </c>
      <c r="J129" s="88">
        <f t="shared" si="5"/>
        <v>-10392.562647485031</v>
      </c>
      <c r="K129" s="88">
        <f t="shared" si="6"/>
        <v>-3490.8317222622813</v>
      </c>
      <c r="L129" s="88">
        <f t="shared" si="7"/>
        <v>-6901.7309252227496</v>
      </c>
      <c r="M129" s="88">
        <f t="shared" si="8"/>
        <v>1040347.7857534616</v>
      </c>
    </row>
    <row r="130" spans="8:18" x14ac:dyDescent="0.3">
      <c r="H130" s="85">
        <v>119</v>
      </c>
      <c r="I130" s="88">
        <f t="shared" si="9"/>
        <v>1040347.7857534616</v>
      </c>
      <c r="J130" s="88">
        <f t="shared" si="5"/>
        <v>-10392.562647485031</v>
      </c>
      <c r="K130" s="88">
        <f t="shared" si="6"/>
        <v>-3467.8259525115391</v>
      </c>
      <c r="L130" s="88">
        <f t="shared" si="7"/>
        <v>-6924.7366949734915</v>
      </c>
      <c r="M130" s="88">
        <f t="shared" si="8"/>
        <v>1033423.0490584881</v>
      </c>
      <c r="O130" s="90" t="s">
        <v>171</v>
      </c>
      <c r="P130" s="90" t="s">
        <v>172</v>
      </c>
      <c r="Q130" s="90" t="s">
        <v>170</v>
      </c>
    </row>
    <row r="131" spans="8:18" x14ac:dyDescent="0.3">
      <c r="H131" s="85">
        <v>120</v>
      </c>
      <c r="I131" s="88">
        <f t="shared" si="9"/>
        <v>1033423.0490584881</v>
      </c>
      <c r="J131" s="88">
        <f t="shared" si="5"/>
        <v>-10392.562647485031</v>
      </c>
      <c r="K131" s="88">
        <f t="shared" si="6"/>
        <v>-3444.7434968616271</v>
      </c>
      <c r="L131" s="88">
        <f t="shared" si="7"/>
        <v>-6947.8191506234034</v>
      </c>
      <c r="M131" s="89">
        <f t="shared" si="8"/>
        <v>1026475.2299078647</v>
      </c>
      <c r="O131" s="88">
        <f>SUM(K120:K131)</f>
        <v>-42843.618581010422</v>
      </c>
      <c r="P131" s="88">
        <f>SUM(L120:L131)</f>
        <v>-81867.133188809938</v>
      </c>
      <c r="Q131" s="88">
        <f>SUM(J120:J131)</f>
        <v>-124710.75176982036</v>
      </c>
      <c r="R131" s="88"/>
    </row>
    <row r="132" spans="8:18" x14ac:dyDescent="0.3">
      <c r="H132" s="85">
        <v>121</v>
      </c>
      <c r="I132" s="88">
        <f t="shared" si="9"/>
        <v>1026475.2299078647</v>
      </c>
      <c r="J132" s="88">
        <f t="shared" si="5"/>
        <v>-10392.562647485031</v>
      </c>
      <c r="K132" s="88">
        <f t="shared" si="6"/>
        <v>-3421.5840996928828</v>
      </c>
      <c r="L132" s="88">
        <f t="shared" si="7"/>
        <v>-6970.9785477921478</v>
      </c>
      <c r="M132" s="88">
        <f t="shared" si="8"/>
        <v>1019504.2513600725</v>
      </c>
    </row>
    <row r="133" spans="8:18" x14ac:dyDescent="0.3">
      <c r="H133" s="85">
        <v>122</v>
      </c>
      <c r="I133" s="88">
        <f t="shared" si="9"/>
        <v>1019504.2513600725</v>
      </c>
      <c r="J133" s="88">
        <f t="shared" si="5"/>
        <v>-10392.562647485031</v>
      </c>
      <c r="K133" s="88">
        <f t="shared" si="6"/>
        <v>-3398.3475045335754</v>
      </c>
      <c r="L133" s="88">
        <f t="shared" si="7"/>
        <v>-6994.2151429514552</v>
      </c>
      <c r="M133" s="88">
        <f t="shared" si="8"/>
        <v>1012510.0362171211</v>
      </c>
    </row>
    <row r="134" spans="8:18" x14ac:dyDescent="0.3">
      <c r="H134" s="85">
        <v>123</v>
      </c>
      <c r="I134" s="88">
        <f t="shared" si="9"/>
        <v>1012510.0362171211</v>
      </c>
      <c r="J134" s="88">
        <f t="shared" si="5"/>
        <v>-10392.562647485031</v>
      </c>
      <c r="K134" s="88">
        <f t="shared" si="6"/>
        <v>-3375.0334540570702</v>
      </c>
      <c r="L134" s="88">
        <f t="shared" si="7"/>
        <v>-7017.5291934279603</v>
      </c>
      <c r="M134" s="88">
        <f t="shared" si="8"/>
        <v>1005492.5070236931</v>
      </c>
    </row>
    <row r="135" spans="8:18" x14ac:dyDescent="0.3">
      <c r="H135" s="85">
        <v>124</v>
      </c>
      <c r="I135" s="88">
        <f t="shared" si="9"/>
        <v>1005492.5070236931</v>
      </c>
      <c r="J135" s="88">
        <f t="shared" si="5"/>
        <v>-10392.562647485031</v>
      </c>
      <c r="K135" s="88">
        <f t="shared" si="6"/>
        <v>-3351.6416900789773</v>
      </c>
      <c r="L135" s="88">
        <f t="shared" si="7"/>
        <v>-7040.9209574060533</v>
      </c>
      <c r="M135" s="88">
        <f t="shared" si="8"/>
        <v>998451.58606628701</v>
      </c>
    </row>
    <row r="136" spans="8:18" x14ac:dyDescent="0.3">
      <c r="H136" s="85">
        <v>125</v>
      </c>
      <c r="I136" s="88">
        <f t="shared" si="9"/>
        <v>998451.58606628701</v>
      </c>
      <c r="J136" s="88">
        <f t="shared" si="5"/>
        <v>-10392.562647485031</v>
      </c>
      <c r="K136" s="88">
        <f t="shared" si="6"/>
        <v>-3328.1719535542902</v>
      </c>
      <c r="L136" s="88">
        <f t="shared" si="7"/>
        <v>-7064.3906939307399</v>
      </c>
      <c r="M136" s="88">
        <f t="shared" si="8"/>
        <v>991387.19537235622</v>
      </c>
    </row>
    <row r="137" spans="8:18" x14ac:dyDescent="0.3">
      <c r="H137" s="85">
        <v>126</v>
      </c>
      <c r="I137" s="88">
        <f t="shared" si="9"/>
        <v>991387.19537235622</v>
      </c>
      <c r="J137" s="88">
        <f t="shared" si="5"/>
        <v>-10392.562647485031</v>
      </c>
      <c r="K137" s="88">
        <f t="shared" si="6"/>
        <v>-3304.6239845745208</v>
      </c>
      <c r="L137" s="88">
        <f t="shared" si="7"/>
        <v>-7087.9386629105102</v>
      </c>
      <c r="M137" s="88">
        <f t="shared" si="8"/>
        <v>984299.25670944573</v>
      </c>
    </row>
    <row r="138" spans="8:18" x14ac:dyDescent="0.3">
      <c r="H138" s="85">
        <v>127</v>
      </c>
      <c r="I138" s="88">
        <f t="shared" si="9"/>
        <v>984299.25670944573</v>
      </c>
      <c r="J138" s="88">
        <f t="shared" si="5"/>
        <v>-10392.562647485031</v>
      </c>
      <c r="K138" s="88">
        <f t="shared" si="6"/>
        <v>-3280.9975223648194</v>
      </c>
      <c r="L138" s="88">
        <f t="shared" si="7"/>
        <v>-7111.5651251202107</v>
      </c>
      <c r="M138" s="88">
        <f t="shared" si="8"/>
        <v>977187.69158432551</v>
      </c>
    </row>
    <row r="139" spans="8:18" x14ac:dyDescent="0.3">
      <c r="H139" s="85">
        <v>128</v>
      </c>
      <c r="I139" s="88">
        <f t="shared" si="9"/>
        <v>977187.69158432551</v>
      </c>
      <c r="J139" s="88">
        <f t="shared" si="5"/>
        <v>-10392.562647485031</v>
      </c>
      <c r="K139" s="88">
        <f t="shared" si="6"/>
        <v>-3257.2923052810852</v>
      </c>
      <c r="L139" s="88">
        <f t="shared" si="7"/>
        <v>-7135.2703422039449</v>
      </c>
      <c r="M139" s="88">
        <f t="shared" si="8"/>
        <v>970052.42124212161</v>
      </c>
    </row>
    <row r="140" spans="8:18" x14ac:dyDescent="0.3">
      <c r="H140" s="85">
        <v>129</v>
      </c>
      <c r="I140" s="88">
        <f t="shared" si="9"/>
        <v>970052.42124212161</v>
      </c>
      <c r="J140" s="88">
        <f t="shared" si="5"/>
        <v>-10392.562647485031</v>
      </c>
      <c r="K140" s="88">
        <f t="shared" si="6"/>
        <v>-3233.5080708070723</v>
      </c>
      <c r="L140" s="88">
        <f t="shared" si="7"/>
        <v>-7159.0545766779578</v>
      </c>
      <c r="M140" s="88">
        <f t="shared" si="8"/>
        <v>962893.36666544364</v>
      </c>
    </row>
    <row r="141" spans="8:18" x14ac:dyDescent="0.3">
      <c r="H141" s="85">
        <v>130</v>
      </c>
      <c r="I141" s="88">
        <f t="shared" si="9"/>
        <v>962893.36666544364</v>
      </c>
      <c r="J141" s="88">
        <f t="shared" ref="J141:J204" si="10">IF(AND($N$5,H141&lt;=$N$6),K141,PMT($H$6/$I$6,IF($N$5,$H$7-$N$6,$H$7),$H$5))</f>
        <v>-10392.562647485031</v>
      </c>
      <c r="K141" s="88">
        <f t="shared" ref="K141:K204" si="11">+$H$6/$I$6*M140*-1</f>
        <v>-3209.6445555514788</v>
      </c>
      <c r="L141" s="88">
        <f t="shared" ref="L141:L204" si="12">J141-K141</f>
        <v>-7182.9180919335522</v>
      </c>
      <c r="M141" s="88">
        <f t="shared" ref="M141:M204" si="13">I141+L141</f>
        <v>955710.44857351005</v>
      </c>
    </row>
    <row r="142" spans="8:18" x14ac:dyDescent="0.3">
      <c r="H142" s="85">
        <v>131</v>
      </c>
      <c r="I142" s="88">
        <f t="shared" ref="I142:I205" si="14">M141</f>
        <v>955710.44857351005</v>
      </c>
      <c r="J142" s="88">
        <f t="shared" si="10"/>
        <v>-10392.562647485031</v>
      </c>
      <c r="K142" s="88">
        <f t="shared" si="11"/>
        <v>-3185.7014952450336</v>
      </c>
      <c r="L142" s="88">
        <f t="shared" si="12"/>
        <v>-7206.861152239997</v>
      </c>
      <c r="M142" s="88">
        <f t="shared" si="13"/>
        <v>948503.58742127009</v>
      </c>
      <c r="O142" s="90" t="s">
        <v>171</v>
      </c>
      <c r="P142" s="90" t="s">
        <v>172</v>
      </c>
      <c r="Q142" s="90" t="s">
        <v>170</v>
      </c>
    </row>
    <row r="143" spans="8:18" x14ac:dyDescent="0.3">
      <c r="H143" s="85">
        <v>132</v>
      </c>
      <c r="I143" s="88">
        <f t="shared" si="14"/>
        <v>948503.58742127009</v>
      </c>
      <c r="J143" s="88">
        <f t="shared" si="10"/>
        <v>-10392.562647485031</v>
      </c>
      <c r="K143" s="88">
        <f t="shared" si="11"/>
        <v>-3161.6786247375671</v>
      </c>
      <c r="L143" s="88">
        <f t="shared" si="12"/>
        <v>-7230.884022747463</v>
      </c>
      <c r="M143" s="89">
        <f t="shared" si="13"/>
        <v>941272.70339852257</v>
      </c>
      <c r="O143" s="88">
        <f>SUM(K132:K143)</f>
        <v>-39508.225260478364</v>
      </c>
      <c r="P143" s="88">
        <f>SUM(L132:L143)</f>
        <v>-85202.526509341988</v>
      </c>
      <c r="Q143" s="88">
        <f>SUM(J132:J143)</f>
        <v>-124710.75176982036</v>
      </c>
      <c r="R143" s="88"/>
    </row>
    <row r="144" spans="8:18" x14ac:dyDescent="0.3">
      <c r="H144" s="85">
        <v>133</v>
      </c>
      <c r="I144" s="88">
        <f t="shared" si="14"/>
        <v>941272.70339852257</v>
      </c>
      <c r="J144" s="88">
        <f t="shared" si="10"/>
        <v>-10392.562647485031</v>
      </c>
      <c r="K144" s="88">
        <f t="shared" si="11"/>
        <v>-3137.5756779950752</v>
      </c>
      <c r="L144" s="88">
        <f t="shared" si="12"/>
        <v>-7254.9869694899553</v>
      </c>
      <c r="M144" s="88">
        <f t="shared" si="13"/>
        <v>934017.71642903262</v>
      </c>
    </row>
    <row r="145" spans="8:18" x14ac:dyDescent="0.3">
      <c r="H145" s="85">
        <v>134</v>
      </c>
      <c r="I145" s="88">
        <f t="shared" si="14"/>
        <v>934017.71642903262</v>
      </c>
      <c r="J145" s="88">
        <f t="shared" si="10"/>
        <v>-10392.562647485031</v>
      </c>
      <c r="K145" s="88">
        <f t="shared" si="11"/>
        <v>-3113.3923880967754</v>
      </c>
      <c r="L145" s="88">
        <f t="shared" si="12"/>
        <v>-7279.1702593882546</v>
      </c>
      <c r="M145" s="88">
        <f t="shared" si="13"/>
        <v>926738.54616964434</v>
      </c>
    </row>
    <row r="146" spans="8:18" x14ac:dyDescent="0.3">
      <c r="H146" s="85">
        <v>135</v>
      </c>
      <c r="I146" s="88">
        <f t="shared" si="14"/>
        <v>926738.54616964434</v>
      </c>
      <c r="J146" s="88">
        <f t="shared" si="10"/>
        <v>-10392.562647485031</v>
      </c>
      <c r="K146" s="88">
        <f t="shared" si="11"/>
        <v>-3089.128487232148</v>
      </c>
      <c r="L146" s="88">
        <f t="shared" si="12"/>
        <v>-7303.4341602528821</v>
      </c>
      <c r="M146" s="88">
        <f t="shared" si="13"/>
        <v>919435.11200939142</v>
      </c>
    </row>
    <row r="147" spans="8:18" x14ac:dyDescent="0.3">
      <c r="H147" s="85">
        <v>136</v>
      </c>
      <c r="I147" s="88">
        <f t="shared" si="14"/>
        <v>919435.11200939142</v>
      </c>
      <c r="J147" s="88">
        <f t="shared" si="10"/>
        <v>-10392.562647485031</v>
      </c>
      <c r="K147" s="88">
        <f t="shared" si="11"/>
        <v>-3064.7837066979714</v>
      </c>
      <c r="L147" s="88">
        <f t="shared" si="12"/>
        <v>-7327.7789407870587</v>
      </c>
      <c r="M147" s="88">
        <f t="shared" si="13"/>
        <v>912107.33306860435</v>
      </c>
    </row>
    <row r="148" spans="8:18" x14ac:dyDescent="0.3">
      <c r="H148" s="85">
        <v>137</v>
      </c>
      <c r="I148" s="88">
        <f t="shared" si="14"/>
        <v>912107.33306860435</v>
      </c>
      <c r="J148" s="88">
        <f t="shared" si="10"/>
        <v>-10392.562647485031</v>
      </c>
      <c r="K148" s="88">
        <f t="shared" si="11"/>
        <v>-3040.3577768953478</v>
      </c>
      <c r="L148" s="88">
        <f t="shared" si="12"/>
        <v>-7352.2048705896832</v>
      </c>
      <c r="M148" s="88">
        <f t="shared" si="13"/>
        <v>904755.12819801469</v>
      </c>
    </row>
    <row r="149" spans="8:18" x14ac:dyDescent="0.3">
      <c r="H149" s="85">
        <v>138</v>
      </c>
      <c r="I149" s="88">
        <f t="shared" si="14"/>
        <v>904755.12819801469</v>
      </c>
      <c r="J149" s="88">
        <f t="shared" si="10"/>
        <v>-10392.562647485031</v>
      </c>
      <c r="K149" s="88">
        <f t="shared" si="11"/>
        <v>-3015.8504273267158</v>
      </c>
      <c r="L149" s="88">
        <f t="shared" si="12"/>
        <v>-7376.7122201583152</v>
      </c>
      <c r="M149" s="88">
        <f t="shared" si="13"/>
        <v>897378.41597785638</v>
      </c>
    </row>
    <row r="150" spans="8:18" x14ac:dyDescent="0.3">
      <c r="H150" s="85">
        <v>139</v>
      </c>
      <c r="I150" s="88">
        <f t="shared" si="14"/>
        <v>897378.41597785638</v>
      </c>
      <c r="J150" s="88">
        <f t="shared" si="10"/>
        <v>-10392.562647485031</v>
      </c>
      <c r="K150" s="88">
        <f t="shared" si="11"/>
        <v>-2991.2613865928547</v>
      </c>
      <c r="L150" s="88">
        <f t="shared" si="12"/>
        <v>-7401.3012608921763</v>
      </c>
      <c r="M150" s="88">
        <f t="shared" si="13"/>
        <v>889977.11471696419</v>
      </c>
    </row>
    <row r="151" spans="8:18" x14ac:dyDescent="0.3">
      <c r="H151" s="85">
        <v>140</v>
      </c>
      <c r="I151" s="88">
        <f t="shared" si="14"/>
        <v>889977.11471696419</v>
      </c>
      <c r="J151" s="88">
        <f t="shared" si="10"/>
        <v>-10392.562647485031</v>
      </c>
      <c r="K151" s="88">
        <f t="shared" si="11"/>
        <v>-2966.5903823898807</v>
      </c>
      <c r="L151" s="88">
        <f t="shared" si="12"/>
        <v>-7425.9722650951499</v>
      </c>
      <c r="M151" s="88">
        <f t="shared" si="13"/>
        <v>882551.14245186909</v>
      </c>
    </row>
    <row r="152" spans="8:18" x14ac:dyDescent="0.3">
      <c r="H152" s="85">
        <v>141</v>
      </c>
      <c r="I152" s="88">
        <f t="shared" si="14"/>
        <v>882551.14245186909</v>
      </c>
      <c r="J152" s="88">
        <f t="shared" si="10"/>
        <v>-10392.562647485031</v>
      </c>
      <c r="K152" s="88">
        <f t="shared" si="11"/>
        <v>-2941.8371415062306</v>
      </c>
      <c r="L152" s="88">
        <f t="shared" si="12"/>
        <v>-7450.7255059788004</v>
      </c>
      <c r="M152" s="88">
        <f t="shared" si="13"/>
        <v>875100.41694589029</v>
      </c>
    </row>
    <row r="153" spans="8:18" x14ac:dyDescent="0.3">
      <c r="H153" s="85">
        <v>142</v>
      </c>
      <c r="I153" s="88">
        <f t="shared" si="14"/>
        <v>875100.41694589029</v>
      </c>
      <c r="J153" s="88">
        <f t="shared" si="10"/>
        <v>-10392.562647485031</v>
      </c>
      <c r="K153" s="88">
        <f t="shared" si="11"/>
        <v>-2917.0013898196344</v>
      </c>
      <c r="L153" s="88">
        <f t="shared" si="12"/>
        <v>-7475.5612576653966</v>
      </c>
      <c r="M153" s="88">
        <f t="shared" si="13"/>
        <v>867624.8556882249</v>
      </c>
    </row>
    <row r="154" spans="8:18" x14ac:dyDescent="0.3">
      <c r="H154" s="85">
        <v>143</v>
      </c>
      <c r="I154" s="88">
        <f t="shared" si="14"/>
        <v>867624.8556882249</v>
      </c>
      <c r="J154" s="88">
        <f t="shared" si="10"/>
        <v>-10392.562647485031</v>
      </c>
      <c r="K154" s="88">
        <f t="shared" si="11"/>
        <v>-2892.0828522940833</v>
      </c>
      <c r="L154" s="88">
        <f t="shared" si="12"/>
        <v>-7500.4797951909477</v>
      </c>
      <c r="M154" s="88">
        <f t="shared" si="13"/>
        <v>860124.37589303392</v>
      </c>
      <c r="O154" s="90" t="s">
        <v>171</v>
      </c>
      <c r="P154" s="90" t="s">
        <v>172</v>
      </c>
      <c r="Q154" s="90" t="s">
        <v>170</v>
      </c>
    </row>
    <row r="155" spans="8:18" x14ac:dyDescent="0.3">
      <c r="H155" s="85">
        <v>144</v>
      </c>
      <c r="I155" s="88">
        <f t="shared" si="14"/>
        <v>860124.37589303392</v>
      </c>
      <c r="J155" s="88">
        <f t="shared" si="10"/>
        <v>-10392.562647485031</v>
      </c>
      <c r="K155" s="88">
        <f t="shared" si="11"/>
        <v>-2867.08125297678</v>
      </c>
      <c r="L155" s="88">
        <f t="shared" si="12"/>
        <v>-7525.4813945082506</v>
      </c>
      <c r="M155" s="89">
        <f t="shared" si="13"/>
        <v>852598.89449852565</v>
      </c>
      <c r="O155" s="88">
        <f>SUM(K144:K155)</f>
        <v>-36036.942869823499</v>
      </c>
      <c r="P155" s="88">
        <f>SUM(L144:L155)</f>
        <v>-88673.808899996875</v>
      </c>
      <c r="Q155" s="88">
        <f>SUM(J144:J155)</f>
        <v>-124710.75176982036</v>
      </c>
      <c r="R155" s="88"/>
    </row>
    <row r="156" spans="8:18" x14ac:dyDescent="0.3">
      <c r="H156" s="85">
        <v>145</v>
      </c>
      <c r="I156" s="88">
        <f t="shared" si="14"/>
        <v>852598.89449852565</v>
      </c>
      <c r="J156" s="88">
        <f t="shared" si="10"/>
        <v>-10392.562647485031</v>
      </c>
      <c r="K156" s="88">
        <f t="shared" si="11"/>
        <v>-2841.9963149950859</v>
      </c>
      <c r="L156" s="88">
        <f t="shared" si="12"/>
        <v>-7550.5663324899451</v>
      </c>
      <c r="M156" s="88">
        <f t="shared" si="13"/>
        <v>845048.3281660357</v>
      </c>
    </row>
    <row r="157" spans="8:18" x14ac:dyDescent="0.3">
      <c r="H157" s="85">
        <v>146</v>
      </c>
      <c r="I157" s="88">
        <f t="shared" si="14"/>
        <v>845048.3281660357</v>
      </c>
      <c r="J157" s="88">
        <f t="shared" si="10"/>
        <v>-10392.562647485031</v>
      </c>
      <c r="K157" s="88">
        <f t="shared" si="11"/>
        <v>-2816.8277605534527</v>
      </c>
      <c r="L157" s="88">
        <f t="shared" si="12"/>
        <v>-7575.7348869315774</v>
      </c>
      <c r="M157" s="88">
        <f t="shared" si="13"/>
        <v>837472.5932791041</v>
      </c>
    </row>
    <row r="158" spans="8:18" x14ac:dyDescent="0.3">
      <c r="H158" s="85">
        <v>147</v>
      </c>
      <c r="I158" s="88">
        <f t="shared" si="14"/>
        <v>837472.5932791041</v>
      </c>
      <c r="J158" s="88">
        <f t="shared" si="10"/>
        <v>-10392.562647485031</v>
      </c>
      <c r="K158" s="88">
        <f t="shared" si="11"/>
        <v>-2791.5753109303473</v>
      </c>
      <c r="L158" s="88">
        <f t="shared" si="12"/>
        <v>-7600.9873365546828</v>
      </c>
      <c r="M158" s="88">
        <f t="shared" si="13"/>
        <v>829871.60594254942</v>
      </c>
    </row>
    <row r="159" spans="8:18" x14ac:dyDescent="0.3">
      <c r="H159" s="85">
        <v>148</v>
      </c>
      <c r="I159" s="88">
        <f t="shared" si="14"/>
        <v>829871.60594254942</v>
      </c>
      <c r="J159" s="88">
        <f t="shared" si="10"/>
        <v>-10392.562647485031</v>
      </c>
      <c r="K159" s="88">
        <f t="shared" si="11"/>
        <v>-2766.2386864751647</v>
      </c>
      <c r="L159" s="88">
        <f t="shared" si="12"/>
        <v>-7626.3239610098663</v>
      </c>
      <c r="M159" s="88">
        <f t="shared" si="13"/>
        <v>822245.28198153956</v>
      </c>
    </row>
    <row r="160" spans="8:18" x14ac:dyDescent="0.3">
      <c r="H160" s="85">
        <v>149</v>
      </c>
      <c r="I160" s="88">
        <f t="shared" si="14"/>
        <v>822245.28198153956</v>
      </c>
      <c r="J160" s="88">
        <f t="shared" si="10"/>
        <v>-10392.562647485031</v>
      </c>
      <c r="K160" s="88">
        <f t="shared" si="11"/>
        <v>-2740.8176066051319</v>
      </c>
      <c r="L160" s="88">
        <f t="shared" si="12"/>
        <v>-7651.7450408798986</v>
      </c>
      <c r="M160" s="88">
        <f t="shared" si="13"/>
        <v>814593.53694065963</v>
      </c>
    </row>
    <row r="161" spans="8:18" x14ac:dyDescent="0.3">
      <c r="H161" s="85">
        <v>150</v>
      </c>
      <c r="I161" s="88">
        <f t="shared" si="14"/>
        <v>814593.53694065963</v>
      </c>
      <c r="J161" s="88">
        <f t="shared" si="10"/>
        <v>-10392.562647485031</v>
      </c>
      <c r="K161" s="88">
        <f t="shared" si="11"/>
        <v>-2715.3117898021987</v>
      </c>
      <c r="L161" s="88">
        <f t="shared" si="12"/>
        <v>-7677.2508576828313</v>
      </c>
      <c r="M161" s="88">
        <f t="shared" si="13"/>
        <v>806916.28608297685</v>
      </c>
    </row>
    <row r="162" spans="8:18" x14ac:dyDescent="0.3">
      <c r="H162" s="85">
        <v>151</v>
      </c>
      <c r="I162" s="88">
        <f t="shared" si="14"/>
        <v>806916.28608297685</v>
      </c>
      <c r="J162" s="88">
        <f t="shared" si="10"/>
        <v>-10392.562647485031</v>
      </c>
      <c r="K162" s="88">
        <f t="shared" si="11"/>
        <v>-2689.7209536099231</v>
      </c>
      <c r="L162" s="88">
        <f t="shared" si="12"/>
        <v>-7702.841693875107</v>
      </c>
      <c r="M162" s="88">
        <f t="shared" si="13"/>
        <v>799213.4443891017</v>
      </c>
    </row>
    <row r="163" spans="8:18" x14ac:dyDescent="0.3">
      <c r="H163" s="85">
        <v>152</v>
      </c>
      <c r="I163" s="88">
        <f t="shared" si="14"/>
        <v>799213.4443891017</v>
      </c>
      <c r="J163" s="88">
        <f t="shared" si="10"/>
        <v>-10392.562647485031</v>
      </c>
      <c r="K163" s="88">
        <f t="shared" si="11"/>
        <v>-2664.0448146303393</v>
      </c>
      <c r="L163" s="88">
        <f t="shared" si="12"/>
        <v>-7728.5178328546917</v>
      </c>
      <c r="M163" s="88">
        <f t="shared" si="13"/>
        <v>791484.92655624705</v>
      </c>
    </row>
    <row r="164" spans="8:18" x14ac:dyDescent="0.3">
      <c r="H164" s="85">
        <v>153</v>
      </c>
      <c r="I164" s="88">
        <f t="shared" si="14"/>
        <v>791484.92655624705</v>
      </c>
      <c r="J164" s="88">
        <f t="shared" si="10"/>
        <v>-10392.562647485031</v>
      </c>
      <c r="K164" s="88">
        <f t="shared" si="11"/>
        <v>-2638.2830885208236</v>
      </c>
      <c r="L164" s="88">
        <f t="shared" si="12"/>
        <v>-7754.2795589642064</v>
      </c>
      <c r="M164" s="88">
        <f t="shared" si="13"/>
        <v>783730.64699728286</v>
      </c>
    </row>
    <row r="165" spans="8:18" x14ac:dyDescent="0.3">
      <c r="H165" s="85">
        <v>154</v>
      </c>
      <c r="I165" s="88">
        <f t="shared" si="14"/>
        <v>783730.64699728286</v>
      </c>
      <c r="J165" s="88">
        <f t="shared" si="10"/>
        <v>-10392.562647485031</v>
      </c>
      <c r="K165" s="88">
        <f t="shared" si="11"/>
        <v>-2612.4354899909431</v>
      </c>
      <c r="L165" s="88">
        <f t="shared" si="12"/>
        <v>-7780.1271574940874</v>
      </c>
      <c r="M165" s="88">
        <f t="shared" si="13"/>
        <v>775950.51983978879</v>
      </c>
    </row>
    <row r="166" spans="8:18" x14ac:dyDescent="0.3">
      <c r="H166" s="85">
        <v>155</v>
      </c>
      <c r="I166" s="88">
        <f t="shared" si="14"/>
        <v>775950.51983978879</v>
      </c>
      <c r="J166" s="88">
        <f t="shared" si="10"/>
        <v>-10392.562647485031</v>
      </c>
      <c r="K166" s="88">
        <f t="shared" si="11"/>
        <v>-2586.501732799296</v>
      </c>
      <c r="L166" s="88">
        <f t="shared" si="12"/>
        <v>-7806.060914685735</v>
      </c>
      <c r="M166" s="88">
        <f t="shared" si="13"/>
        <v>768144.45892510307</v>
      </c>
      <c r="O166" s="90" t="s">
        <v>171</v>
      </c>
      <c r="P166" s="90" t="s">
        <v>172</v>
      </c>
      <c r="Q166" s="90" t="s">
        <v>170</v>
      </c>
    </row>
    <row r="167" spans="8:18" x14ac:dyDescent="0.3">
      <c r="H167" s="85">
        <v>156</v>
      </c>
      <c r="I167" s="88">
        <f t="shared" si="14"/>
        <v>768144.45892510307</v>
      </c>
      <c r="J167" s="88">
        <f t="shared" si="10"/>
        <v>-10392.562647485031</v>
      </c>
      <c r="K167" s="88">
        <f t="shared" si="11"/>
        <v>-2560.4815297503437</v>
      </c>
      <c r="L167" s="88">
        <f t="shared" si="12"/>
        <v>-7832.0811177346868</v>
      </c>
      <c r="M167" s="89">
        <f t="shared" si="13"/>
        <v>760312.37780736841</v>
      </c>
      <c r="O167" s="88">
        <f>SUM(K156:K167)</f>
        <v>-32424.235078663049</v>
      </c>
      <c r="P167" s="88">
        <f>SUM(L156:L167)</f>
        <v>-92286.516691157318</v>
      </c>
      <c r="Q167" s="88">
        <f>SUM(J156:J167)</f>
        <v>-124710.75176982036</v>
      </c>
      <c r="R167" s="88"/>
    </row>
    <row r="168" spans="8:18" x14ac:dyDescent="0.3">
      <c r="H168" s="85">
        <v>157</v>
      </c>
      <c r="I168" s="88">
        <f t="shared" si="14"/>
        <v>760312.37780736841</v>
      </c>
      <c r="J168" s="88">
        <f t="shared" si="10"/>
        <v>-10392.562647485031</v>
      </c>
      <c r="K168" s="88">
        <f t="shared" si="11"/>
        <v>-2534.3745926912284</v>
      </c>
      <c r="L168" s="88">
        <f t="shared" si="12"/>
        <v>-7858.1880547938017</v>
      </c>
      <c r="M168" s="88">
        <f t="shared" si="13"/>
        <v>752454.18975257466</v>
      </c>
    </row>
    <row r="169" spans="8:18" x14ac:dyDescent="0.3">
      <c r="H169" s="85">
        <v>158</v>
      </c>
      <c r="I169" s="88">
        <f t="shared" si="14"/>
        <v>752454.18975257466</v>
      </c>
      <c r="J169" s="88">
        <f t="shared" si="10"/>
        <v>-10392.562647485031</v>
      </c>
      <c r="K169" s="88">
        <f t="shared" si="11"/>
        <v>-2508.1806325085822</v>
      </c>
      <c r="L169" s="88">
        <f t="shared" si="12"/>
        <v>-7884.3820149764488</v>
      </c>
      <c r="M169" s="88">
        <f t="shared" si="13"/>
        <v>744569.8077375982</v>
      </c>
    </row>
    <row r="170" spans="8:18" x14ac:dyDescent="0.3">
      <c r="H170" s="85">
        <v>159</v>
      </c>
      <c r="I170" s="88">
        <f t="shared" si="14"/>
        <v>744569.8077375982</v>
      </c>
      <c r="J170" s="88">
        <f t="shared" si="10"/>
        <v>-10392.562647485031</v>
      </c>
      <c r="K170" s="88">
        <f t="shared" si="11"/>
        <v>-2481.8993591253275</v>
      </c>
      <c r="L170" s="88">
        <f t="shared" si="12"/>
        <v>-7910.6632883597031</v>
      </c>
      <c r="M170" s="88">
        <f t="shared" si="13"/>
        <v>736659.14444923855</v>
      </c>
    </row>
    <row r="171" spans="8:18" x14ac:dyDescent="0.3">
      <c r="H171" s="85">
        <v>160</v>
      </c>
      <c r="I171" s="88">
        <f t="shared" si="14"/>
        <v>736659.14444923855</v>
      </c>
      <c r="J171" s="88">
        <f t="shared" si="10"/>
        <v>-10392.562647485031</v>
      </c>
      <c r="K171" s="88">
        <f t="shared" si="11"/>
        <v>-2455.530481497462</v>
      </c>
      <c r="L171" s="88">
        <f t="shared" si="12"/>
        <v>-7937.0321659875681</v>
      </c>
      <c r="M171" s="88">
        <f t="shared" si="13"/>
        <v>728722.11228325102</v>
      </c>
    </row>
    <row r="172" spans="8:18" x14ac:dyDescent="0.3">
      <c r="H172" s="85">
        <v>161</v>
      </c>
      <c r="I172" s="88">
        <f t="shared" si="14"/>
        <v>728722.11228325102</v>
      </c>
      <c r="J172" s="88">
        <f t="shared" si="10"/>
        <v>-10392.562647485031</v>
      </c>
      <c r="K172" s="88">
        <f t="shared" si="11"/>
        <v>-2429.0737076108367</v>
      </c>
      <c r="L172" s="88">
        <f t="shared" si="12"/>
        <v>-7963.4889398741943</v>
      </c>
      <c r="M172" s="88">
        <f t="shared" si="13"/>
        <v>720758.62334337679</v>
      </c>
    </row>
    <row r="173" spans="8:18" x14ac:dyDescent="0.3">
      <c r="H173" s="85">
        <v>162</v>
      </c>
      <c r="I173" s="88">
        <f t="shared" si="14"/>
        <v>720758.62334337679</v>
      </c>
      <c r="J173" s="88">
        <f t="shared" si="10"/>
        <v>-10392.562647485031</v>
      </c>
      <c r="K173" s="88">
        <f t="shared" si="11"/>
        <v>-2402.5287444779228</v>
      </c>
      <c r="L173" s="88">
        <f t="shared" si="12"/>
        <v>-7990.0339030071082</v>
      </c>
      <c r="M173" s="88">
        <f t="shared" si="13"/>
        <v>712768.58944036963</v>
      </c>
    </row>
    <row r="174" spans="8:18" x14ac:dyDescent="0.3">
      <c r="H174" s="85">
        <v>163</v>
      </c>
      <c r="I174" s="88">
        <f t="shared" si="14"/>
        <v>712768.58944036963</v>
      </c>
      <c r="J174" s="88">
        <f t="shared" si="10"/>
        <v>-10392.562647485031</v>
      </c>
      <c r="K174" s="88">
        <f t="shared" si="11"/>
        <v>-2375.8952981345656</v>
      </c>
      <c r="L174" s="88">
        <f t="shared" si="12"/>
        <v>-8016.667349350465</v>
      </c>
      <c r="M174" s="88">
        <f t="shared" si="13"/>
        <v>704751.92209101911</v>
      </c>
    </row>
    <row r="175" spans="8:18" x14ac:dyDescent="0.3">
      <c r="H175" s="85">
        <v>164</v>
      </c>
      <c r="I175" s="88">
        <f t="shared" si="14"/>
        <v>704751.92209101911</v>
      </c>
      <c r="J175" s="88">
        <f t="shared" si="10"/>
        <v>-10392.562647485031</v>
      </c>
      <c r="K175" s="88">
        <f t="shared" si="11"/>
        <v>-2349.1730736367304</v>
      </c>
      <c r="L175" s="88">
        <f t="shared" si="12"/>
        <v>-8043.3895738483006</v>
      </c>
      <c r="M175" s="88">
        <f t="shared" si="13"/>
        <v>696708.53251717077</v>
      </c>
    </row>
    <row r="176" spans="8:18" x14ac:dyDescent="0.3">
      <c r="H176" s="85">
        <v>165</v>
      </c>
      <c r="I176" s="88">
        <f t="shared" si="14"/>
        <v>696708.53251717077</v>
      </c>
      <c r="J176" s="88">
        <f t="shared" si="10"/>
        <v>-10392.562647485031</v>
      </c>
      <c r="K176" s="88">
        <f t="shared" si="11"/>
        <v>-2322.3617750572362</v>
      </c>
      <c r="L176" s="88">
        <f t="shared" si="12"/>
        <v>-8070.2008724277948</v>
      </c>
      <c r="M176" s="88">
        <f t="shared" si="13"/>
        <v>688638.33164474298</v>
      </c>
    </row>
    <row r="177" spans="8:18" x14ac:dyDescent="0.3">
      <c r="H177" s="85">
        <v>166</v>
      </c>
      <c r="I177" s="88">
        <f t="shared" si="14"/>
        <v>688638.33164474298</v>
      </c>
      <c r="J177" s="88">
        <f t="shared" si="10"/>
        <v>-10392.562647485031</v>
      </c>
      <c r="K177" s="88">
        <f t="shared" si="11"/>
        <v>-2295.4611054824768</v>
      </c>
      <c r="L177" s="88">
        <f t="shared" si="12"/>
        <v>-8097.1015420025542</v>
      </c>
      <c r="M177" s="88">
        <f t="shared" si="13"/>
        <v>680541.23010274046</v>
      </c>
    </row>
    <row r="178" spans="8:18" x14ac:dyDescent="0.3">
      <c r="H178" s="85">
        <v>167</v>
      </c>
      <c r="I178" s="88">
        <f t="shared" si="14"/>
        <v>680541.23010274046</v>
      </c>
      <c r="J178" s="88">
        <f t="shared" si="10"/>
        <v>-10392.562647485031</v>
      </c>
      <c r="K178" s="88">
        <f t="shared" si="11"/>
        <v>-2268.4707670091352</v>
      </c>
      <c r="L178" s="88">
        <f t="shared" si="12"/>
        <v>-8124.0918804758949</v>
      </c>
      <c r="M178" s="88">
        <f t="shared" si="13"/>
        <v>672417.13822226459</v>
      </c>
      <c r="O178" s="90" t="s">
        <v>171</v>
      </c>
      <c r="P178" s="90" t="s">
        <v>172</v>
      </c>
      <c r="Q178" s="90" t="s">
        <v>170</v>
      </c>
    </row>
    <row r="179" spans="8:18" x14ac:dyDescent="0.3">
      <c r="H179" s="85">
        <v>168</v>
      </c>
      <c r="I179" s="88">
        <f t="shared" si="14"/>
        <v>672417.13822226459</v>
      </c>
      <c r="J179" s="88">
        <f t="shared" si="10"/>
        <v>-10392.562647485031</v>
      </c>
      <c r="K179" s="88">
        <f t="shared" si="11"/>
        <v>-2241.3904607408822</v>
      </c>
      <c r="L179" s="88">
        <f t="shared" si="12"/>
        <v>-8151.1721867441483</v>
      </c>
      <c r="M179" s="89">
        <f t="shared" si="13"/>
        <v>664265.96603552043</v>
      </c>
      <c r="O179" s="88">
        <f>SUM(K168:K179)</f>
        <v>-28664.339997972391</v>
      </c>
      <c r="P179" s="88">
        <f>SUM(L168:L179)</f>
        <v>-96046.411771847983</v>
      </c>
      <c r="Q179" s="88">
        <f>SUM(J168:J179)</f>
        <v>-124710.75176982036</v>
      </c>
      <c r="R179" s="88"/>
    </row>
    <row r="180" spans="8:18" x14ac:dyDescent="0.3">
      <c r="H180" s="85">
        <v>169</v>
      </c>
      <c r="I180" s="88">
        <f t="shared" si="14"/>
        <v>664265.96603552043</v>
      </c>
      <c r="J180" s="88">
        <f t="shared" si="10"/>
        <v>-10392.562647485031</v>
      </c>
      <c r="K180" s="88">
        <f t="shared" si="11"/>
        <v>-2214.2198867850684</v>
      </c>
      <c r="L180" s="88">
        <f t="shared" si="12"/>
        <v>-8178.3427606999621</v>
      </c>
      <c r="M180" s="88">
        <f t="shared" si="13"/>
        <v>656087.62327482051</v>
      </c>
    </row>
    <row r="181" spans="8:18" x14ac:dyDescent="0.3">
      <c r="H181" s="85">
        <v>170</v>
      </c>
      <c r="I181" s="88">
        <f t="shared" si="14"/>
        <v>656087.62327482051</v>
      </c>
      <c r="J181" s="88">
        <f t="shared" si="10"/>
        <v>-10392.562647485031</v>
      </c>
      <c r="K181" s="88">
        <f t="shared" si="11"/>
        <v>-2186.9587442494017</v>
      </c>
      <c r="L181" s="88">
        <f t="shared" si="12"/>
        <v>-8205.6039032356293</v>
      </c>
      <c r="M181" s="88">
        <f t="shared" si="13"/>
        <v>647882.01937158487</v>
      </c>
    </row>
    <row r="182" spans="8:18" x14ac:dyDescent="0.3">
      <c r="H182" s="85">
        <v>171</v>
      </c>
      <c r="I182" s="88">
        <f t="shared" si="14"/>
        <v>647882.01937158487</v>
      </c>
      <c r="J182" s="88">
        <f t="shared" si="10"/>
        <v>-10392.562647485031</v>
      </c>
      <c r="K182" s="88">
        <f t="shared" si="11"/>
        <v>-2159.6067312386162</v>
      </c>
      <c r="L182" s="88">
        <f t="shared" si="12"/>
        <v>-8232.9559162464138</v>
      </c>
      <c r="M182" s="88">
        <f t="shared" si="13"/>
        <v>639649.06345533847</v>
      </c>
    </row>
    <row r="183" spans="8:18" x14ac:dyDescent="0.3">
      <c r="H183" s="85">
        <v>172</v>
      </c>
      <c r="I183" s="88">
        <f t="shared" si="14"/>
        <v>639649.06345533847</v>
      </c>
      <c r="J183" s="88">
        <f t="shared" si="10"/>
        <v>-10392.562647485031</v>
      </c>
      <c r="K183" s="88">
        <f t="shared" si="11"/>
        <v>-2132.1635448511283</v>
      </c>
      <c r="L183" s="88">
        <f t="shared" si="12"/>
        <v>-8260.3991026339027</v>
      </c>
      <c r="M183" s="88">
        <f t="shared" si="13"/>
        <v>631388.66435270454</v>
      </c>
    </row>
    <row r="184" spans="8:18" x14ac:dyDescent="0.3">
      <c r="H184" s="85">
        <v>173</v>
      </c>
      <c r="I184" s="88">
        <f t="shared" si="14"/>
        <v>631388.66435270454</v>
      </c>
      <c r="J184" s="88">
        <f t="shared" si="10"/>
        <v>-10392.562647485031</v>
      </c>
      <c r="K184" s="88">
        <f t="shared" si="11"/>
        <v>-2104.6288811756817</v>
      </c>
      <c r="L184" s="88">
        <f t="shared" si="12"/>
        <v>-8287.9337663093484</v>
      </c>
      <c r="M184" s="88">
        <f t="shared" si="13"/>
        <v>623100.73058639513</v>
      </c>
    </row>
    <row r="185" spans="8:18" x14ac:dyDescent="0.3">
      <c r="H185" s="85">
        <v>174</v>
      </c>
      <c r="I185" s="88">
        <f t="shared" si="14"/>
        <v>623100.73058639513</v>
      </c>
      <c r="J185" s="88">
        <f t="shared" si="10"/>
        <v>-10392.562647485031</v>
      </c>
      <c r="K185" s="88">
        <f t="shared" si="11"/>
        <v>-2077.0024352879841</v>
      </c>
      <c r="L185" s="88">
        <f t="shared" si="12"/>
        <v>-8315.560212197046</v>
      </c>
      <c r="M185" s="88">
        <f t="shared" si="13"/>
        <v>614785.17037419812</v>
      </c>
    </row>
    <row r="186" spans="8:18" x14ac:dyDescent="0.3">
      <c r="H186" s="85">
        <v>175</v>
      </c>
      <c r="I186" s="88">
        <f t="shared" si="14"/>
        <v>614785.17037419812</v>
      </c>
      <c r="J186" s="88">
        <f t="shared" si="10"/>
        <v>-10392.562647485031</v>
      </c>
      <c r="K186" s="88">
        <f t="shared" si="11"/>
        <v>-2049.2839012473273</v>
      </c>
      <c r="L186" s="88">
        <f t="shared" si="12"/>
        <v>-8343.2787462377037</v>
      </c>
      <c r="M186" s="88">
        <f t="shared" si="13"/>
        <v>606441.89162796037</v>
      </c>
    </row>
    <row r="187" spans="8:18" x14ac:dyDescent="0.3">
      <c r="H187" s="85">
        <v>176</v>
      </c>
      <c r="I187" s="88">
        <f t="shared" si="14"/>
        <v>606441.89162796037</v>
      </c>
      <c r="J187" s="88">
        <f t="shared" si="10"/>
        <v>-10392.562647485031</v>
      </c>
      <c r="K187" s="88">
        <f t="shared" si="11"/>
        <v>-2021.4729720932014</v>
      </c>
      <c r="L187" s="88">
        <f t="shared" si="12"/>
        <v>-8371.0896753918296</v>
      </c>
      <c r="M187" s="88">
        <f t="shared" si="13"/>
        <v>598070.80195256858</v>
      </c>
    </row>
    <row r="188" spans="8:18" x14ac:dyDescent="0.3">
      <c r="H188" s="85">
        <v>177</v>
      </c>
      <c r="I188" s="88">
        <f t="shared" si="14"/>
        <v>598070.80195256858</v>
      </c>
      <c r="J188" s="88">
        <f t="shared" si="10"/>
        <v>-10392.562647485031</v>
      </c>
      <c r="K188" s="88">
        <f t="shared" si="11"/>
        <v>-1993.5693398418955</v>
      </c>
      <c r="L188" s="88">
        <f t="shared" si="12"/>
        <v>-8398.9933076431353</v>
      </c>
      <c r="M188" s="88">
        <f t="shared" si="13"/>
        <v>589671.80864492548</v>
      </c>
    </row>
    <row r="189" spans="8:18" x14ac:dyDescent="0.3">
      <c r="H189" s="85">
        <v>178</v>
      </c>
      <c r="I189" s="88">
        <f t="shared" si="14"/>
        <v>589671.80864492548</v>
      </c>
      <c r="J189" s="88">
        <f t="shared" si="10"/>
        <v>-10392.562647485031</v>
      </c>
      <c r="K189" s="88">
        <f t="shared" si="11"/>
        <v>-1965.572695483085</v>
      </c>
      <c r="L189" s="88">
        <f t="shared" si="12"/>
        <v>-8426.9899520019462</v>
      </c>
      <c r="M189" s="88">
        <f t="shared" si="13"/>
        <v>581244.81869292352</v>
      </c>
    </row>
    <row r="190" spans="8:18" x14ac:dyDescent="0.3">
      <c r="H190" s="85">
        <v>179</v>
      </c>
      <c r="I190" s="88">
        <f t="shared" si="14"/>
        <v>581244.81869292352</v>
      </c>
      <c r="J190" s="88">
        <f t="shared" si="10"/>
        <v>-10392.562647485031</v>
      </c>
      <c r="K190" s="88">
        <f t="shared" si="11"/>
        <v>-1937.4827289764119</v>
      </c>
      <c r="L190" s="88">
        <f t="shared" si="12"/>
        <v>-8455.079918508618</v>
      </c>
      <c r="M190" s="88">
        <f t="shared" si="13"/>
        <v>572789.73877441487</v>
      </c>
      <c r="O190" s="90" t="s">
        <v>171</v>
      </c>
      <c r="P190" s="90" t="s">
        <v>172</v>
      </c>
      <c r="Q190" s="90" t="s">
        <v>170</v>
      </c>
    </row>
    <row r="191" spans="8:18" x14ac:dyDescent="0.3">
      <c r="H191" s="85">
        <v>180</v>
      </c>
      <c r="I191" s="88">
        <f t="shared" si="14"/>
        <v>572789.73877441487</v>
      </c>
      <c r="J191" s="88">
        <f t="shared" si="10"/>
        <v>-10392.562647485031</v>
      </c>
      <c r="K191" s="88">
        <f t="shared" si="11"/>
        <v>-1909.2991292480497</v>
      </c>
      <c r="L191" s="88">
        <f t="shared" si="12"/>
        <v>-8483.2635182369813</v>
      </c>
      <c r="M191" s="89">
        <f t="shared" si="13"/>
        <v>564306.47525617795</v>
      </c>
      <c r="O191" s="88">
        <f>SUM(K180:K191)</f>
        <v>-24751.260990477855</v>
      </c>
      <c r="P191" s="88">
        <f>SUM(L180:L191)</f>
        <v>-99959.490779342508</v>
      </c>
      <c r="Q191" s="88">
        <f>SUM(J180:J191)</f>
        <v>-124710.75176982036</v>
      </c>
      <c r="R191" s="88"/>
    </row>
    <row r="192" spans="8:18" x14ac:dyDescent="0.3">
      <c r="H192" s="85">
        <v>181</v>
      </c>
      <c r="I192" s="88">
        <f t="shared" si="14"/>
        <v>564306.47525617795</v>
      </c>
      <c r="J192" s="88">
        <f t="shared" si="10"/>
        <v>-10392.562647485031</v>
      </c>
      <c r="K192" s="88">
        <f t="shared" si="11"/>
        <v>-1881.02158418726</v>
      </c>
      <c r="L192" s="88">
        <f t="shared" si="12"/>
        <v>-8511.541063297771</v>
      </c>
      <c r="M192" s="88">
        <f t="shared" si="13"/>
        <v>555794.93419288017</v>
      </c>
    </row>
    <row r="193" spans="8:17" x14ac:dyDescent="0.3">
      <c r="H193" s="85">
        <v>182</v>
      </c>
      <c r="I193" s="88">
        <f t="shared" si="14"/>
        <v>555794.93419288017</v>
      </c>
      <c r="J193" s="88">
        <f t="shared" si="10"/>
        <v>-10392.562647485031</v>
      </c>
      <c r="K193" s="88">
        <f t="shared" si="11"/>
        <v>-1852.649780642934</v>
      </c>
      <c r="L193" s="88">
        <f t="shared" si="12"/>
        <v>-8539.9128668420963</v>
      </c>
      <c r="M193" s="88">
        <f t="shared" si="13"/>
        <v>547255.02132603806</v>
      </c>
    </row>
    <row r="194" spans="8:17" x14ac:dyDescent="0.3">
      <c r="H194" s="85">
        <v>183</v>
      </c>
      <c r="I194" s="88">
        <f t="shared" si="14"/>
        <v>547255.02132603806</v>
      </c>
      <c r="J194" s="88">
        <f t="shared" si="10"/>
        <v>-10392.562647485031</v>
      </c>
      <c r="K194" s="88">
        <f t="shared" si="11"/>
        <v>-1824.1834044201269</v>
      </c>
      <c r="L194" s="88">
        <f t="shared" si="12"/>
        <v>-8568.3792430649046</v>
      </c>
      <c r="M194" s="88">
        <f t="shared" si="13"/>
        <v>538686.64208297315</v>
      </c>
    </row>
    <row r="195" spans="8:17" x14ac:dyDescent="0.3">
      <c r="H195" s="85">
        <v>184</v>
      </c>
      <c r="I195" s="88">
        <f t="shared" si="14"/>
        <v>538686.64208297315</v>
      </c>
      <c r="J195" s="88">
        <f t="shared" si="10"/>
        <v>-10392.562647485031</v>
      </c>
      <c r="K195" s="88">
        <f t="shared" si="11"/>
        <v>-1795.6221402765773</v>
      </c>
      <c r="L195" s="88">
        <f t="shared" si="12"/>
        <v>-8596.9405072084537</v>
      </c>
      <c r="M195" s="88">
        <f t="shared" si="13"/>
        <v>530089.70157576469</v>
      </c>
    </row>
    <row r="196" spans="8:17" x14ac:dyDescent="0.3">
      <c r="H196" s="85">
        <v>185</v>
      </c>
      <c r="I196" s="88">
        <f t="shared" si="14"/>
        <v>530089.70157576469</v>
      </c>
      <c r="J196" s="88">
        <f t="shared" si="10"/>
        <v>-10392.562647485031</v>
      </c>
      <c r="K196" s="88">
        <f t="shared" si="11"/>
        <v>-1766.9656719192158</v>
      </c>
      <c r="L196" s="88">
        <f t="shared" si="12"/>
        <v>-8625.5969755658152</v>
      </c>
      <c r="M196" s="88">
        <f t="shared" si="13"/>
        <v>521464.10460019886</v>
      </c>
    </row>
    <row r="197" spans="8:17" x14ac:dyDescent="0.3">
      <c r="H197" s="85">
        <v>186</v>
      </c>
      <c r="I197" s="88">
        <f t="shared" si="14"/>
        <v>521464.10460019886</v>
      </c>
      <c r="J197" s="88">
        <f t="shared" si="10"/>
        <v>-10392.562647485031</v>
      </c>
      <c r="K197" s="88">
        <f t="shared" si="11"/>
        <v>-1738.2136820006631</v>
      </c>
      <c r="L197" s="88">
        <f t="shared" si="12"/>
        <v>-8654.348965484367</v>
      </c>
      <c r="M197" s="88">
        <f t="shared" si="13"/>
        <v>512809.7556347145</v>
      </c>
    </row>
    <row r="198" spans="8:17" x14ac:dyDescent="0.3">
      <c r="H198" s="85">
        <v>187</v>
      </c>
      <c r="I198" s="88">
        <f t="shared" si="14"/>
        <v>512809.7556347145</v>
      </c>
      <c r="J198" s="88">
        <f t="shared" si="10"/>
        <v>-10392.562647485031</v>
      </c>
      <c r="K198" s="88">
        <f t="shared" si="11"/>
        <v>-1709.3658521157151</v>
      </c>
      <c r="L198" s="88">
        <f t="shared" si="12"/>
        <v>-8683.1967953693147</v>
      </c>
      <c r="M198" s="88">
        <f t="shared" si="13"/>
        <v>504126.55883934518</v>
      </c>
    </row>
    <row r="199" spans="8:17" x14ac:dyDescent="0.3">
      <c r="H199" s="85">
        <v>188</v>
      </c>
      <c r="I199" s="88">
        <f t="shared" si="14"/>
        <v>504126.55883934518</v>
      </c>
      <c r="J199" s="88">
        <f t="shared" si="10"/>
        <v>-10392.562647485031</v>
      </c>
      <c r="K199" s="88">
        <f t="shared" si="11"/>
        <v>-1680.4218627978173</v>
      </c>
      <c r="L199" s="88">
        <f t="shared" si="12"/>
        <v>-8712.1407846872135</v>
      </c>
      <c r="M199" s="88">
        <f t="shared" si="13"/>
        <v>495414.41805465799</v>
      </c>
    </row>
    <row r="200" spans="8:17" x14ac:dyDescent="0.3">
      <c r="H200" s="85">
        <v>189</v>
      </c>
      <c r="I200" s="88">
        <f t="shared" si="14"/>
        <v>495414.41805465799</v>
      </c>
      <c r="J200" s="88">
        <f t="shared" si="10"/>
        <v>-10392.562647485031</v>
      </c>
      <c r="K200" s="88">
        <f t="shared" si="11"/>
        <v>-1651.3813935155267</v>
      </c>
      <c r="L200" s="88">
        <f t="shared" si="12"/>
        <v>-8741.1812539695038</v>
      </c>
      <c r="M200" s="88">
        <f t="shared" si="13"/>
        <v>486673.23680068849</v>
      </c>
    </row>
    <row r="201" spans="8:17" x14ac:dyDescent="0.3">
      <c r="H201" s="85">
        <v>190</v>
      </c>
      <c r="I201" s="88">
        <f t="shared" si="14"/>
        <v>486673.23680068849</v>
      </c>
      <c r="J201" s="88">
        <f t="shared" si="10"/>
        <v>-10392.562647485031</v>
      </c>
      <c r="K201" s="88">
        <f t="shared" si="11"/>
        <v>-1622.2441226689618</v>
      </c>
      <c r="L201" s="88">
        <f t="shared" si="12"/>
        <v>-8770.318524816068</v>
      </c>
      <c r="M201" s="88">
        <f t="shared" si="13"/>
        <v>477902.91827587242</v>
      </c>
    </row>
    <row r="202" spans="8:17" x14ac:dyDescent="0.3">
      <c r="H202" s="85">
        <v>191</v>
      </c>
      <c r="I202" s="88">
        <f t="shared" si="14"/>
        <v>477902.91827587242</v>
      </c>
      <c r="J202" s="88">
        <f t="shared" si="10"/>
        <v>-10392.562647485031</v>
      </c>
      <c r="K202" s="88">
        <f t="shared" si="11"/>
        <v>-1593.0097275862415</v>
      </c>
      <c r="L202" s="88">
        <f t="shared" si="12"/>
        <v>-8799.5529198987897</v>
      </c>
      <c r="M202" s="88">
        <f t="shared" si="13"/>
        <v>469103.36535597366</v>
      </c>
      <c r="O202" s="90" t="s">
        <v>171</v>
      </c>
      <c r="P202" s="90" t="s">
        <v>172</v>
      </c>
      <c r="Q202" s="90" t="s">
        <v>170</v>
      </c>
    </row>
    <row r="203" spans="8:17" x14ac:dyDescent="0.3">
      <c r="H203" s="85">
        <v>192</v>
      </c>
      <c r="I203" s="88">
        <f t="shared" si="14"/>
        <v>469103.36535597366</v>
      </c>
      <c r="J203" s="88">
        <f t="shared" si="10"/>
        <v>-10392.562647485031</v>
      </c>
      <c r="K203" s="88">
        <f t="shared" si="11"/>
        <v>-1563.6778845199124</v>
      </c>
      <c r="L203" s="88">
        <f t="shared" si="12"/>
        <v>-8828.8847629651173</v>
      </c>
      <c r="M203" s="89">
        <f t="shared" si="13"/>
        <v>460274.48059300851</v>
      </c>
      <c r="O203" s="88">
        <f>SUM(K192:K203)</f>
        <v>-20678.757106650952</v>
      </c>
      <c r="P203" s="88">
        <f>SUM(L192:L203)</f>
        <v>-104031.99466316943</v>
      </c>
      <c r="Q203" s="88">
        <f>SUM(J192:J203)</f>
        <v>-124710.75176982036</v>
      </c>
    </row>
    <row r="204" spans="8:17" x14ac:dyDescent="0.3">
      <c r="H204" s="85">
        <v>193</v>
      </c>
      <c r="I204" s="88">
        <f t="shared" si="14"/>
        <v>460274.48059300851</v>
      </c>
      <c r="J204" s="88">
        <f t="shared" si="10"/>
        <v>-10392.562647485031</v>
      </c>
      <c r="K204" s="88">
        <f t="shared" si="11"/>
        <v>-1534.2482686433618</v>
      </c>
      <c r="L204" s="88">
        <f t="shared" si="12"/>
        <v>-8858.3143788416692</v>
      </c>
      <c r="M204" s="88">
        <f t="shared" si="13"/>
        <v>451416.16621416685</v>
      </c>
      <c r="Q204" s="88"/>
    </row>
    <row r="205" spans="8:17" x14ac:dyDescent="0.3">
      <c r="H205" s="85">
        <v>194</v>
      </c>
      <c r="I205" s="88">
        <f t="shared" si="14"/>
        <v>451416.16621416685</v>
      </c>
      <c r="J205" s="88">
        <f t="shared" ref="J205:J251" si="15">IF(AND($N$5,H205&lt;=$N$6),K205,PMT($H$6/$I$6,IF($N$5,$H$7-$N$6,$H$7),$H$5))</f>
        <v>-10392.562647485031</v>
      </c>
      <c r="K205" s="88">
        <f t="shared" ref="K205:K251" si="16">+$H$6/$I$6*M204*-1</f>
        <v>-1504.720554047223</v>
      </c>
      <c r="L205" s="88">
        <f t="shared" ref="L205:L251" si="17">J205-K205</f>
        <v>-8887.8420934378082</v>
      </c>
      <c r="M205" s="88">
        <f t="shared" ref="M205:M251" si="18">I205+L205</f>
        <v>442528.32412072906</v>
      </c>
    </row>
    <row r="206" spans="8:17" x14ac:dyDescent="0.3">
      <c r="H206" s="85">
        <v>195</v>
      </c>
      <c r="I206" s="88">
        <f t="shared" ref="I206:I251" si="19">M205</f>
        <v>442528.32412072906</v>
      </c>
      <c r="J206" s="88">
        <f t="shared" si="15"/>
        <v>-10392.562647485031</v>
      </c>
      <c r="K206" s="88">
        <f t="shared" si="16"/>
        <v>-1475.0944137357635</v>
      </c>
      <c r="L206" s="88">
        <f t="shared" si="17"/>
        <v>-8917.4682337492668</v>
      </c>
      <c r="M206" s="88">
        <f t="shared" si="18"/>
        <v>433610.85588697979</v>
      </c>
    </row>
    <row r="207" spans="8:17" x14ac:dyDescent="0.3">
      <c r="H207" s="85">
        <v>196</v>
      </c>
      <c r="I207" s="88">
        <f t="shared" si="19"/>
        <v>433610.85588697979</v>
      </c>
      <c r="J207" s="88">
        <f t="shared" si="15"/>
        <v>-10392.562647485031</v>
      </c>
      <c r="K207" s="88">
        <f t="shared" si="16"/>
        <v>-1445.3695196232661</v>
      </c>
      <c r="L207" s="88">
        <f t="shared" si="17"/>
        <v>-8947.1931278617649</v>
      </c>
      <c r="M207" s="88">
        <f t="shared" si="18"/>
        <v>424663.66275911801</v>
      </c>
    </row>
    <row r="208" spans="8:17" x14ac:dyDescent="0.3">
      <c r="H208" s="85">
        <v>197</v>
      </c>
      <c r="I208" s="88">
        <f t="shared" si="19"/>
        <v>424663.66275911801</v>
      </c>
      <c r="J208" s="88">
        <f t="shared" si="15"/>
        <v>-10392.562647485031</v>
      </c>
      <c r="K208" s="88">
        <f t="shared" si="16"/>
        <v>-1415.5455425303935</v>
      </c>
      <c r="L208" s="88">
        <f t="shared" si="17"/>
        <v>-8977.017104954637</v>
      </c>
      <c r="M208" s="88">
        <f t="shared" si="18"/>
        <v>415686.64565416338</v>
      </c>
    </row>
    <row r="209" spans="8:17" x14ac:dyDescent="0.3">
      <c r="H209" s="85">
        <v>198</v>
      </c>
      <c r="I209" s="88">
        <f t="shared" si="19"/>
        <v>415686.64565416338</v>
      </c>
      <c r="J209" s="88">
        <f t="shared" si="15"/>
        <v>-10392.562647485031</v>
      </c>
      <c r="K209" s="88">
        <f t="shared" si="16"/>
        <v>-1385.6221521805446</v>
      </c>
      <c r="L209" s="88">
        <f t="shared" si="17"/>
        <v>-9006.9404953044868</v>
      </c>
      <c r="M209" s="88">
        <f t="shared" si="18"/>
        <v>406679.70515885891</v>
      </c>
    </row>
    <row r="210" spans="8:17" x14ac:dyDescent="0.3">
      <c r="H210" s="85">
        <v>199</v>
      </c>
      <c r="I210" s="88">
        <f t="shared" si="19"/>
        <v>406679.70515885891</v>
      </c>
      <c r="J210" s="88">
        <f t="shared" si="15"/>
        <v>-10392.562647485031</v>
      </c>
      <c r="K210" s="88">
        <f t="shared" si="16"/>
        <v>-1355.5990171961964</v>
      </c>
      <c r="L210" s="88">
        <f t="shared" si="17"/>
        <v>-9036.9636302888339</v>
      </c>
      <c r="M210" s="88">
        <f t="shared" si="18"/>
        <v>397642.74152857007</v>
      </c>
    </row>
    <row r="211" spans="8:17" x14ac:dyDescent="0.3">
      <c r="H211" s="85">
        <v>200</v>
      </c>
      <c r="I211" s="88">
        <f t="shared" si="19"/>
        <v>397642.74152857007</v>
      </c>
      <c r="J211" s="88">
        <f t="shared" si="15"/>
        <v>-10392.562647485031</v>
      </c>
      <c r="K211" s="88">
        <f t="shared" si="16"/>
        <v>-1325.4758050952337</v>
      </c>
      <c r="L211" s="88">
        <f t="shared" si="17"/>
        <v>-9067.0868423897973</v>
      </c>
      <c r="M211" s="88">
        <f t="shared" si="18"/>
        <v>388575.65468618029</v>
      </c>
    </row>
    <row r="212" spans="8:17" x14ac:dyDescent="0.3">
      <c r="H212" s="85">
        <v>201</v>
      </c>
      <c r="I212" s="88">
        <f t="shared" si="19"/>
        <v>388575.65468618029</v>
      </c>
      <c r="J212" s="88">
        <f t="shared" si="15"/>
        <v>-10392.562647485031</v>
      </c>
      <c r="K212" s="88">
        <f t="shared" si="16"/>
        <v>-1295.2521822872677</v>
      </c>
      <c r="L212" s="88">
        <f t="shared" si="17"/>
        <v>-9097.3104651977628</v>
      </c>
      <c r="M212" s="88">
        <f t="shared" si="18"/>
        <v>379478.34422098252</v>
      </c>
    </row>
    <row r="213" spans="8:17" x14ac:dyDescent="0.3">
      <c r="H213" s="85">
        <v>202</v>
      </c>
      <c r="I213" s="88">
        <f t="shared" si="19"/>
        <v>379478.34422098252</v>
      </c>
      <c r="J213" s="88">
        <f t="shared" si="15"/>
        <v>-10392.562647485031</v>
      </c>
      <c r="K213" s="88">
        <f t="shared" si="16"/>
        <v>-1264.9278140699419</v>
      </c>
      <c r="L213" s="88">
        <f t="shared" si="17"/>
        <v>-9127.634833415088</v>
      </c>
      <c r="M213" s="88">
        <f t="shared" si="18"/>
        <v>370350.70938756742</v>
      </c>
    </row>
    <row r="214" spans="8:17" x14ac:dyDescent="0.3">
      <c r="H214" s="85">
        <v>203</v>
      </c>
      <c r="I214" s="88">
        <f t="shared" si="19"/>
        <v>370350.70938756742</v>
      </c>
      <c r="J214" s="88">
        <f t="shared" si="15"/>
        <v>-10392.562647485031</v>
      </c>
      <c r="K214" s="88">
        <f t="shared" si="16"/>
        <v>-1234.5023646252248</v>
      </c>
      <c r="L214" s="88">
        <f t="shared" si="17"/>
        <v>-9158.0602828598057</v>
      </c>
      <c r="M214" s="88">
        <f t="shared" si="18"/>
        <v>361192.64910470764</v>
      </c>
      <c r="O214" s="90" t="s">
        <v>171</v>
      </c>
      <c r="P214" s="90" t="s">
        <v>172</v>
      </c>
      <c r="Q214" s="90" t="s">
        <v>170</v>
      </c>
    </row>
    <row r="215" spans="8:17" x14ac:dyDescent="0.3">
      <c r="H215" s="85">
        <v>204</v>
      </c>
      <c r="I215" s="88">
        <f t="shared" si="19"/>
        <v>361192.64910470764</v>
      </c>
      <c r="J215" s="88">
        <f t="shared" si="15"/>
        <v>-10392.562647485031</v>
      </c>
      <c r="K215" s="88">
        <f t="shared" si="16"/>
        <v>-1203.9754970156923</v>
      </c>
      <c r="L215" s="88">
        <f t="shared" si="17"/>
        <v>-9188.5871504693387</v>
      </c>
      <c r="M215" s="89">
        <f t="shared" si="18"/>
        <v>352004.06195423828</v>
      </c>
      <c r="O215" s="88">
        <f>SUM(K204:K215)</f>
        <v>-16440.333131050113</v>
      </c>
      <c r="P215" s="88">
        <f>SUM(L204:L215)</f>
        <v>-108270.41863877025</v>
      </c>
      <c r="Q215" s="88">
        <f>SUM(J204:J215)</f>
        <v>-124710.75176982036</v>
      </c>
    </row>
    <row r="216" spans="8:17" x14ac:dyDescent="0.3">
      <c r="H216" s="85">
        <v>205</v>
      </c>
      <c r="I216" s="88">
        <f t="shared" si="19"/>
        <v>352004.06195423828</v>
      </c>
      <c r="J216" s="88">
        <f t="shared" si="15"/>
        <v>-10392.562647485031</v>
      </c>
      <c r="K216" s="88">
        <f t="shared" si="16"/>
        <v>-1173.3468731807943</v>
      </c>
      <c r="L216" s="88">
        <f t="shared" si="17"/>
        <v>-9219.2157743042371</v>
      </c>
      <c r="M216" s="88">
        <f t="shared" si="18"/>
        <v>342784.84617993404</v>
      </c>
    </row>
    <row r="217" spans="8:17" x14ac:dyDescent="0.3">
      <c r="H217" s="85">
        <v>206</v>
      </c>
      <c r="I217" s="88">
        <f t="shared" si="19"/>
        <v>342784.84617993404</v>
      </c>
      <c r="J217" s="88">
        <f t="shared" si="15"/>
        <v>-10392.562647485031</v>
      </c>
      <c r="K217" s="88">
        <f t="shared" si="16"/>
        <v>-1142.6161539331135</v>
      </c>
      <c r="L217" s="88">
        <f t="shared" si="17"/>
        <v>-9249.9464935519172</v>
      </c>
      <c r="M217" s="88">
        <f t="shared" si="18"/>
        <v>333534.89968638215</v>
      </c>
    </row>
    <row r="218" spans="8:17" x14ac:dyDescent="0.3">
      <c r="H218" s="85">
        <v>207</v>
      </c>
      <c r="I218" s="88">
        <f t="shared" si="19"/>
        <v>333534.89968638215</v>
      </c>
      <c r="J218" s="88">
        <f t="shared" si="15"/>
        <v>-10392.562647485031</v>
      </c>
      <c r="K218" s="88">
        <f t="shared" si="16"/>
        <v>-1111.7829989546071</v>
      </c>
      <c r="L218" s="88">
        <f t="shared" si="17"/>
        <v>-9280.7796485304243</v>
      </c>
      <c r="M218" s="88">
        <f t="shared" si="18"/>
        <v>324254.12003785174</v>
      </c>
    </row>
    <row r="219" spans="8:17" x14ac:dyDescent="0.3">
      <c r="H219" s="85">
        <v>208</v>
      </c>
      <c r="I219" s="88">
        <f t="shared" si="19"/>
        <v>324254.12003785174</v>
      </c>
      <c r="J219" s="88">
        <f t="shared" si="15"/>
        <v>-10392.562647485031</v>
      </c>
      <c r="K219" s="88">
        <f t="shared" si="16"/>
        <v>-1080.8470667928391</v>
      </c>
      <c r="L219" s="88">
        <f t="shared" si="17"/>
        <v>-9311.715580692191</v>
      </c>
      <c r="M219" s="88">
        <f t="shared" si="18"/>
        <v>314942.40445715957</v>
      </c>
    </row>
    <row r="220" spans="8:17" x14ac:dyDescent="0.3">
      <c r="H220" s="85">
        <v>209</v>
      </c>
      <c r="I220" s="88">
        <f t="shared" si="19"/>
        <v>314942.40445715957</v>
      </c>
      <c r="J220" s="88">
        <f t="shared" si="15"/>
        <v>-10392.562647485031</v>
      </c>
      <c r="K220" s="88">
        <f t="shared" si="16"/>
        <v>-1049.8080148571987</v>
      </c>
      <c r="L220" s="88">
        <f t="shared" si="17"/>
        <v>-9342.7546326278316</v>
      </c>
      <c r="M220" s="88">
        <f t="shared" si="18"/>
        <v>305599.64982453175</v>
      </c>
    </row>
    <row r="221" spans="8:17" x14ac:dyDescent="0.3">
      <c r="H221" s="85">
        <v>210</v>
      </c>
      <c r="I221" s="88">
        <f t="shared" si="19"/>
        <v>305599.64982453175</v>
      </c>
      <c r="J221" s="88">
        <f t="shared" si="15"/>
        <v>-10392.562647485031</v>
      </c>
      <c r="K221" s="88">
        <f t="shared" si="16"/>
        <v>-1018.6654994151058</v>
      </c>
      <c r="L221" s="88">
        <f t="shared" si="17"/>
        <v>-9373.8971480699256</v>
      </c>
      <c r="M221" s="88">
        <f t="shared" si="18"/>
        <v>296225.75267646182</v>
      </c>
    </row>
    <row r="222" spans="8:17" x14ac:dyDescent="0.3">
      <c r="H222" s="85">
        <v>211</v>
      </c>
      <c r="I222" s="88">
        <f t="shared" si="19"/>
        <v>296225.75267646182</v>
      </c>
      <c r="J222" s="88">
        <f t="shared" si="15"/>
        <v>-10392.562647485031</v>
      </c>
      <c r="K222" s="88">
        <f t="shared" si="16"/>
        <v>-987.41917558820614</v>
      </c>
      <c r="L222" s="88">
        <f t="shared" si="17"/>
        <v>-9405.1434718968248</v>
      </c>
      <c r="M222" s="88">
        <f t="shared" si="18"/>
        <v>286820.609204565</v>
      </c>
    </row>
    <row r="223" spans="8:17" x14ac:dyDescent="0.3">
      <c r="H223" s="85">
        <v>212</v>
      </c>
      <c r="I223" s="88">
        <f t="shared" si="19"/>
        <v>286820.609204565</v>
      </c>
      <c r="J223" s="88">
        <f t="shared" si="15"/>
        <v>-10392.562647485031</v>
      </c>
      <c r="K223" s="88">
        <f t="shared" si="16"/>
        <v>-956.06869734855002</v>
      </c>
      <c r="L223" s="88">
        <f t="shared" si="17"/>
        <v>-9436.4939501364806</v>
      </c>
      <c r="M223" s="88">
        <f t="shared" si="18"/>
        <v>277384.11525442853</v>
      </c>
    </row>
    <row r="224" spans="8:17" x14ac:dyDescent="0.3">
      <c r="H224" s="85">
        <v>213</v>
      </c>
      <c r="I224" s="88">
        <f t="shared" si="19"/>
        <v>277384.11525442853</v>
      </c>
      <c r="J224" s="88">
        <f t="shared" si="15"/>
        <v>-10392.562647485031</v>
      </c>
      <c r="K224" s="88">
        <f t="shared" si="16"/>
        <v>-924.61371751476179</v>
      </c>
      <c r="L224" s="88">
        <f t="shared" si="17"/>
        <v>-9467.9489299702691</v>
      </c>
      <c r="M224" s="88">
        <f t="shared" si="18"/>
        <v>267916.16632445826</v>
      </c>
    </row>
    <row r="225" spans="8:17" x14ac:dyDescent="0.3">
      <c r="H225" s="85">
        <v>214</v>
      </c>
      <c r="I225" s="88">
        <f t="shared" si="19"/>
        <v>267916.16632445826</v>
      </c>
      <c r="J225" s="88">
        <f t="shared" si="15"/>
        <v>-10392.562647485031</v>
      </c>
      <c r="K225" s="88">
        <f t="shared" si="16"/>
        <v>-893.05388774819426</v>
      </c>
      <c r="L225" s="88">
        <f t="shared" si="17"/>
        <v>-9499.5087597368365</v>
      </c>
      <c r="M225" s="88">
        <f t="shared" si="18"/>
        <v>258416.65756472142</v>
      </c>
    </row>
    <row r="226" spans="8:17" x14ac:dyDescent="0.3">
      <c r="H226" s="85">
        <v>215</v>
      </c>
      <c r="I226" s="88">
        <f t="shared" si="19"/>
        <v>258416.65756472142</v>
      </c>
      <c r="J226" s="88">
        <f t="shared" si="15"/>
        <v>-10392.562647485031</v>
      </c>
      <c r="K226" s="88">
        <f t="shared" si="16"/>
        <v>-861.38885854907141</v>
      </c>
      <c r="L226" s="88">
        <f t="shared" si="17"/>
        <v>-9531.1737889359592</v>
      </c>
      <c r="M226" s="88">
        <f t="shared" si="18"/>
        <v>248885.48377578545</v>
      </c>
      <c r="O226" s="90" t="s">
        <v>171</v>
      </c>
      <c r="P226" s="90" t="s">
        <v>172</v>
      </c>
      <c r="Q226" s="90" t="s">
        <v>170</v>
      </c>
    </row>
    <row r="227" spans="8:17" x14ac:dyDescent="0.3">
      <c r="H227" s="85">
        <v>216</v>
      </c>
      <c r="I227" s="88">
        <f t="shared" si="19"/>
        <v>248885.48377578545</v>
      </c>
      <c r="J227" s="88">
        <f t="shared" si="15"/>
        <v>-10392.562647485031</v>
      </c>
      <c r="K227" s="88">
        <f t="shared" si="16"/>
        <v>-829.61827925261821</v>
      </c>
      <c r="L227" s="88">
        <f t="shared" si="17"/>
        <v>-9562.9443682324127</v>
      </c>
      <c r="M227" s="89">
        <f t="shared" si="18"/>
        <v>239322.53940755303</v>
      </c>
      <c r="O227" s="88">
        <f>SUM(K216:K227)</f>
        <v>-12029.22922313506</v>
      </c>
      <c r="P227" s="88">
        <f>SUM(L216:L227)</f>
        <v>-112681.52254668533</v>
      </c>
      <c r="Q227" s="88">
        <f>SUM(J216:J227)</f>
        <v>-124710.75176982036</v>
      </c>
    </row>
    <row r="228" spans="8:17" x14ac:dyDescent="0.3">
      <c r="H228" s="85">
        <v>217</v>
      </c>
      <c r="I228" s="88">
        <f t="shared" si="19"/>
        <v>239322.53940755303</v>
      </c>
      <c r="J228" s="88">
        <f t="shared" si="15"/>
        <v>-10392.562647485031</v>
      </c>
      <c r="K228" s="88">
        <f t="shared" si="16"/>
        <v>-797.74179802517688</v>
      </c>
      <c r="L228" s="88">
        <f t="shared" si="17"/>
        <v>-9594.820849459853</v>
      </c>
      <c r="M228" s="88">
        <f t="shared" si="18"/>
        <v>229727.71855809318</v>
      </c>
    </row>
    <row r="229" spans="8:17" x14ac:dyDescent="0.3">
      <c r="H229" s="85">
        <v>218</v>
      </c>
      <c r="I229" s="88">
        <f t="shared" si="19"/>
        <v>229727.71855809318</v>
      </c>
      <c r="J229" s="88">
        <f t="shared" si="15"/>
        <v>-10392.562647485031</v>
      </c>
      <c r="K229" s="88">
        <f t="shared" si="16"/>
        <v>-765.75906186031068</v>
      </c>
      <c r="L229" s="88">
        <f t="shared" si="17"/>
        <v>-9626.8035856247207</v>
      </c>
      <c r="M229" s="88">
        <f t="shared" si="18"/>
        <v>220100.91497246845</v>
      </c>
    </row>
    <row r="230" spans="8:17" x14ac:dyDescent="0.3">
      <c r="H230" s="85">
        <v>219</v>
      </c>
      <c r="I230" s="88">
        <f t="shared" si="19"/>
        <v>220100.91497246845</v>
      </c>
      <c r="J230" s="88">
        <f t="shared" si="15"/>
        <v>-10392.562647485031</v>
      </c>
      <c r="K230" s="88">
        <f t="shared" si="16"/>
        <v>-733.66971657489489</v>
      </c>
      <c r="L230" s="88">
        <f t="shared" si="17"/>
        <v>-9658.892930910135</v>
      </c>
      <c r="M230" s="88">
        <f t="shared" si="18"/>
        <v>210442.02204155832</v>
      </c>
    </row>
    <row r="231" spans="8:17" x14ac:dyDescent="0.3">
      <c r="H231" s="85">
        <v>220</v>
      </c>
      <c r="I231" s="88">
        <f t="shared" si="19"/>
        <v>210442.02204155832</v>
      </c>
      <c r="J231" s="88">
        <f t="shared" si="15"/>
        <v>-10392.562647485031</v>
      </c>
      <c r="K231" s="88">
        <f t="shared" si="16"/>
        <v>-701.47340680519449</v>
      </c>
      <c r="L231" s="88">
        <f t="shared" si="17"/>
        <v>-9691.0892406798357</v>
      </c>
      <c r="M231" s="88">
        <f t="shared" si="18"/>
        <v>200750.93280087848</v>
      </c>
    </row>
    <row r="232" spans="8:17" x14ac:dyDescent="0.3">
      <c r="H232" s="85">
        <v>221</v>
      </c>
      <c r="I232" s="88">
        <f t="shared" si="19"/>
        <v>200750.93280087848</v>
      </c>
      <c r="J232" s="88">
        <f t="shared" si="15"/>
        <v>-10392.562647485031</v>
      </c>
      <c r="K232" s="88">
        <f t="shared" si="16"/>
        <v>-669.1697760029283</v>
      </c>
      <c r="L232" s="88">
        <f t="shared" si="17"/>
        <v>-9723.3928714821013</v>
      </c>
      <c r="M232" s="88">
        <f t="shared" si="18"/>
        <v>191027.53992939639</v>
      </c>
    </row>
    <row r="233" spans="8:17" x14ac:dyDescent="0.3">
      <c r="H233" s="85">
        <v>222</v>
      </c>
      <c r="I233" s="88">
        <f t="shared" si="19"/>
        <v>191027.53992939639</v>
      </c>
      <c r="J233" s="88">
        <f t="shared" si="15"/>
        <v>-10392.562647485031</v>
      </c>
      <c r="K233" s="88">
        <f t="shared" si="16"/>
        <v>-636.75846643132138</v>
      </c>
      <c r="L233" s="88">
        <f t="shared" si="17"/>
        <v>-9755.8041810537088</v>
      </c>
      <c r="M233" s="88">
        <f t="shared" si="18"/>
        <v>181271.73574834267</v>
      </c>
    </row>
    <row r="234" spans="8:17" x14ac:dyDescent="0.3">
      <c r="H234" s="85">
        <v>223</v>
      </c>
      <c r="I234" s="88">
        <f t="shared" si="19"/>
        <v>181271.73574834267</v>
      </c>
      <c r="J234" s="88">
        <f t="shared" si="15"/>
        <v>-10392.562647485031</v>
      </c>
      <c r="K234" s="88">
        <f t="shared" si="16"/>
        <v>-604.2391191611423</v>
      </c>
      <c r="L234" s="88">
        <f t="shared" si="17"/>
        <v>-9788.3235283238882</v>
      </c>
      <c r="M234" s="88">
        <f t="shared" si="18"/>
        <v>171483.4122200188</v>
      </c>
    </row>
    <row r="235" spans="8:17" x14ac:dyDescent="0.3">
      <c r="H235" s="85">
        <v>224</v>
      </c>
      <c r="I235" s="88">
        <f t="shared" si="19"/>
        <v>171483.4122200188</v>
      </c>
      <c r="J235" s="88">
        <f t="shared" si="15"/>
        <v>-10392.562647485031</v>
      </c>
      <c r="K235" s="88">
        <f t="shared" si="16"/>
        <v>-571.61137406672935</v>
      </c>
      <c r="L235" s="88">
        <f t="shared" si="17"/>
        <v>-9820.9512734183008</v>
      </c>
      <c r="M235" s="88">
        <f t="shared" si="18"/>
        <v>161662.46094660051</v>
      </c>
    </row>
    <row r="236" spans="8:17" x14ac:dyDescent="0.3">
      <c r="H236" s="85">
        <v>225</v>
      </c>
      <c r="I236" s="88">
        <f t="shared" si="19"/>
        <v>161662.46094660051</v>
      </c>
      <c r="J236" s="88">
        <f t="shared" si="15"/>
        <v>-10392.562647485031</v>
      </c>
      <c r="K236" s="88">
        <f t="shared" si="16"/>
        <v>-538.87486982200176</v>
      </c>
      <c r="L236" s="88">
        <f t="shared" si="17"/>
        <v>-9853.6877776630281</v>
      </c>
      <c r="M236" s="88">
        <f t="shared" si="18"/>
        <v>151808.77316893748</v>
      </c>
    </row>
    <row r="237" spans="8:17" x14ac:dyDescent="0.3">
      <c r="H237" s="85">
        <v>226</v>
      </c>
      <c r="I237" s="88">
        <f t="shared" si="19"/>
        <v>151808.77316893748</v>
      </c>
      <c r="J237" s="88">
        <f t="shared" si="15"/>
        <v>-10392.562647485031</v>
      </c>
      <c r="K237" s="88">
        <f t="shared" si="16"/>
        <v>-506.0292438964583</v>
      </c>
      <c r="L237" s="88">
        <f t="shared" si="17"/>
        <v>-9886.5334035885717</v>
      </c>
      <c r="M237" s="88">
        <f t="shared" si="18"/>
        <v>141922.2397653489</v>
      </c>
    </row>
    <row r="238" spans="8:17" x14ac:dyDescent="0.3">
      <c r="H238" s="85">
        <v>227</v>
      </c>
      <c r="I238" s="88">
        <f t="shared" si="19"/>
        <v>141922.2397653489</v>
      </c>
      <c r="J238" s="88">
        <f t="shared" si="15"/>
        <v>-10392.562647485031</v>
      </c>
      <c r="K238" s="88">
        <f t="shared" si="16"/>
        <v>-473.07413255116302</v>
      </c>
      <c r="L238" s="88">
        <f t="shared" si="17"/>
        <v>-9919.4885149338679</v>
      </c>
      <c r="M238" s="88">
        <f t="shared" si="18"/>
        <v>132002.75125041502</v>
      </c>
      <c r="O238" s="90" t="s">
        <v>171</v>
      </c>
      <c r="P238" s="90" t="s">
        <v>172</v>
      </c>
      <c r="Q238" s="90" t="s">
        <v>170</v>
      </c>
    </row>
    <row r="239" spans="8:17" x14ac:dyDescent="0.3">
      <c r="H239" s="85">
        <v>228</v>
      </c>
      <c r="I239" s="88">
        <f t="shared" si="19"/>
        <v>132002.75125041502</v>
      </c>
      <c r="J239" s="88">
        <f t="shared" si="15"/>
        <v>-10392.562647485031</v>
      </c>
      <c r="K239" s="88">
        <f t="shared" si="16"/>
        <v>-440.00917083471677</v>
      </c>
      <c r="L239" s="88">
        <f t="shared" si="17"/>
        <v>-9952.5534766503133</v>
      </c>
      <c r="M239" s="89">
        <f t="shared" si="18"/>
        <v>122050.19777376471</v>
      </c>
      <c r="O239" s="88">
        <f>SUM(K228:K239)</f>
        <v>-7438.4101360320365</v>
      </c>
      <c r="P239" s="88">
        <f>SUM(L228:L239)</f>
        <v>-117272.34163378834</v>
      </c>
      <c r="Q239" s="88">
        <f>SUM(J228:J239)</f>
        <v>-124710.75176982036</v>
      </c>
    </row>
    <row r="240" spans="8:17" x14ac:dyDescent="0.3">
      <c r="H240" s="85">
        <v>229</v>
      </c>
      <c r="I240" s="88">
        <f t="shared" si="19"/>
        <v>122050.19777376471</v>
      </c>
      <c r="J240" s="88">
        <f t="shared" si="15"/>
        <v>-10392.562647485031</v>
      </c>
      <c r="K240" s="88">
        <f t="shared" si="16"/>
        <v>-406.8339925792157</v>
      </c>
      <c r="L240" s="88">
        <f t="shared" si="17"/>
        <v>-9985.7286549058153</v>
      </c>
      <c r="M240" s="88">
        <f t="shared" si="18"/>
        <v>112064.46911885889</v>
      </c>
    </row>
    <row r="241" spans="8:17" x14ac:dyDescent="0.3">
      <c r="H241" s="85">
        <v>230</v>
      </c>
      <c r="I241" s="88">
        <f t="shared" si="19"/>
        <v>112064.46911885889</v>
      </c>
      <c r="J241" s="88">
        <f t="shared" si="15"/>
        <v>-10392.562647485031</v>
      </c>
      <c r="K241" s="88">
        <f t="shared" si="16"/>
        <v>-373.54823039619635</v>
      </c>
      <c r="L241" s="88">
        <f t="shared" si="17"/>
        <v>-10019.014417088834</v>
      </c>
      <c r="M241" s="88">
        <f t="shared" si="18"/>
        <v>102045.45470177005</v>
      </c>
    </row>
    <row r="242" spans="8:17" x14ac:dyDescent="0.3">
      <c r="H242" s="85">
        <v>231</v>
      </c>
      <c r="I242" s="88">
        <f t="shared" si="19"/>
        <v>102045.45470177005</v>
      </c>
      <c r="J242" s="88">
        <f t="shared" si="15"/>
        <v>-10392.562647485031</v>
      </c>
      <c r="K242" s="88">
        <f t="shared" si="16"/>
        <v>-340.15151567256686</v>
      </c>
      <c r="L242" s="88">
        <f t="shared" si="17"/>
        <v>-10052.411131812463</v>
      </c>
      <c r="M242" s="88">
        <f t="shared" si="18"/>
        <v>91993.04356995759</v>
      </c>
    </row>
    <row r="243" spans="8:17" x14ac:dyDescent="0.3">
      <c r="H243" s="85">
        <v>232</v>
      </c>
      <c r="I243" s="88">
        <f t="shared" si="19"/>
        <v>91993.04356995759</v>
      </c>
      <c r="J243" s="88">
        <f t="shared" si="15"/>
        <v>-10392.562647485031</v>
      </c>
      <c r="K243" s="88">
        <f t="shared" si="16"/>
        <v>-306.64347856652535</v>
      </c>
      <c r="L243" s="88">
        <f t="shared" si="17"/>
        <v>-10085.919168918505</v>
      </c>
      <c r="M243" s="88">
        <f t="shared" si="18"/>
        <v>81907.12440103908</v>
      </c>
    </row>
    <row r="244" spans="8:17" x14ac:dyDescent="0.3">
      <c r="H244" s="85">
        <v>233</v>
      </c>
      <c r="I244" s="88">
        <f t="shared" si="19"/>
        <v>81907.12440103908</v>
      </c>
      <c r="J244" s="88">
        <f t="shared" si="15"/>
        <v>-10392.562647485031</v>
      </c>
      <c r="K244" s="88">
        <f t="shared" si="16"/>
        <v>-273.0237480034636</v>
      </c>
      <c r="L244" s="88">
        <f t="shared" si="17"/>
        <v>-10119.538899481568</v>
      </c>
      <c r="M244" s="88">
        <f t="shared" si="18"/>
        <v>71787.585501557507</v>
      </c>
    </row>
    <row r="245" spans="8:17" x14ac:dyDescent="0.3">
      <c r="H245" s="85">
        <v>234</v>
      </c>
      <c r="I245" s="88">
        <f t="shared" si="19"/>
        <v>71787.585501557507</v>
      </c>
      <c r="J245" s="88">
        <f t="shared" si="15"/>
        <v>-10392.562647485031</v>
      </c>
      <c r="K245" s="88">
        <f t="shared" si="16"/>
        <v>-239.29195167185838</v>
      </c>
      <c r="L245" s="88">
        <f t="shared" si="17"/>
        <v>-10153.270695813173</v>
      </c>
      <c r="M245" s="88">
        <f t="shared" si="18"/>
        <v>61634.314805744332</v>
      </c>
    </row>
    <row r="246" spans="8:17" x14ac:dyDescent="0.3">
      <c r="H246" s="85">
        <v>235</v>
      </c>
      <c r="I246" s="88">
        <f t="shared" si="19"/>
        <v>61634.314805744332</v>
      </c>
      <c r="J246" s="88">
        <f t="shared" si="15"/>
        <v>-10392.562647485031</v>
      </c>
      <c r="K246" s="88">
        <f t="shared" si="16"/>
        <v>-205.44771601914778</v>
      </c>
      <c r="L246" s="88">
        <f t="shared" si="17"/>
        <v>-10187.114931465883</v>
      </c>
      <c r="M246" s="88">
        <f t="shared" si="18"/>
        <v>51447.199874278449</v>
      </c>
    </row>
    <row r="247" spans="8:17" x14ac:dyDescent="0.3">
      <c r="H247" s="85">
        <v>236</v>
      </c>
      <c r="I247" s="88">
        <f t="shared" si="19"/>
        <v>51447.199874278449</v>
      </c>
      <c r="J247" s="88">
        <f t="shared" si="15"/>
        <v>-10392.562647485031</v>
      </c>
      <c r="K247" s="88">
        <f t="shared" si="16"/>
        <v>-171.49066624759485</v>
      </c>
      <c r="L247" s="88">
        <f t="shared" si="17"/>
        <v>-10221.071981237435</v>
      </c>
      <c r="M247" s="88">
        <f t="shared" si="18"/>
        <v>41226.127893041012</v>
      </c>
    </row>
    <row r="248" spans="8:17" x14ac:dyDescent="0.3">
      <c r="H248" s="85">
        <v>237</v>
      </c>
      <c r="I248" s="88">
        <f t="shared" si="19"/>
        <v>41226.127893041012</v>
      </c>
      <c r="J248" s="88">
        <f t="shared" si="15"/>
        <v>-10392.562647485031</v>
      </c>
      <c r="K248" s="88">
        <f t="shared" si="16"/>
        <v>-137.42042631013672</v>
      </c>
      <c r="L248" s="88">
        <f t="shared" si="17"/>
        <v>-10255.142221174894</v>
      </c>
      <c r="M248" s="88">
        <f t="shared" si="18"/>
        <v>30970.985671866118</v>
      </c>
    </row>
    <row r="249" spans="8:17" x14ac:dyDescent="0.3">
      <c r="H249" s="85">
        <v>238</v>
      </c>
      <c r="I249" s="88">
        <f t="shared" si="19"/>
        <v>30970.985671866118</v>
      </c>
      <c r="J249" s="88">
        <f t="shared" si="15"/>
        <v>-10392.562647485031</v>
      </c>
      <c r="K249" s="88">
        <f t="shared" si="16"/>
        <v>-103.2366189062204</v>
      </c>
      <c r="L249" s="88">
        <f t="shared" si="17"/>
        <v>-10289.326028578811</v>
      </c>
      <c r="M249" s="88">
        <f t="shared" si="18"/>
        <v>20681.659643287305</v>
      </c>
    </row>
    <row r="250" spans="8:17" x14ac:dyDescent="0.3">
      <c r="H250" s="85">
        <v>239</v>
      </c>
      <c r="I250" s="88">
        <f t="shared" si="19"/>
        <v>20681.659643287305</v>
      </c>
      <c r="J250" s="88">
        <f t="shared" si="15"/>
        <v>-10392.562647485031</v>
      </c>
      <c r="K250" s="88">
        <f t="shared" si="16"/>
        <v>-68.938865477624347</v>
      </c>
      <c r="L250" s="88">
        <f t="shared" si="17"/>
        <v>-10323.623782007406</v>
      </c>
      <c r="M250" s="88">
        <f t="shared" si="18"/>
        <v>10358.035861279899</v>
      </c>
      <c r="O250" s="90" t="s">
        <v>171</v>
      </c>
      <c r="P250" s="90" t="s">
        <v>172</v>
      </c>
      <c r="Q250" s="90" t="s">
        <v>170</v>
      </c>
    </row>
    <row r="251" spans="8:17" x14ac:dyDescent="0.3">
      <c r="H251" s="85">
        <v>240</v>
      </c>
      <c r="I251" s="88">
        <f t="shared" si="19"/>
        <v>10358.035861279899</v>
      </c>
      <c r="J251" s="88">
        <f t="shared" si="15"/>
        <v>-10392.562647485031</v>
      </c>
      <c r="K251" s="88">
        <f t="shared" si="16"/>
        <v>-34.52678620426633</v>
      </c>
      <c r="L251" s="88">
        <f t="shared" si="17"/>
        <v>-10358.035861280765</v>
      </c>
      <c r="M251" s="89">
        <f t="shared" si="18"/>
        <v>-8.6583895608782768E-10</v>
      </c>
      <c r="O251" s="88">
        <f>SUM(K240:K251)</f>
        <v>-2660.5539960548176</v>
      </c>
      <c r="P251" s="88">
        <f>SUM(L240:L251)</f>
        <v>-122050.19777376554</v>
      </c>
      <c r="Q251" s="88">
        <f>SUM(J240:J251)</f>
        <v>-124710.75176982036</v>
      </c>
    </row>
  </sheetData>
  <mergeCells count="10">
    <mergeCell ref="B13:D13"/>
    <mergeCell ref="B14:D14"/>
    <mergeCell ref="B15:D15"/>
    <mergeCell ref="G4:N4"/>
    <mergeCell ref="B7:D7"/>
    <mergeCell ref="B12:D12"/>
    <mergeCell ref="B8:D8"/>
    <mergeCell ref="B9:D9"/>
    <mergeCell ref="B10:D10"/>
    <mergeCell ref="B11:D11"/>
  </mergeCells>
  <phoneticPr fontId="8" type="noConversion"/>
  <pageMargins left="0.7" right="0.7" top="0.75" bottom="0.75" header="0.3" footer="0.3"/>
  <pageSetup scale="47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CF02-3473-4988-A27D-A7EA15F8171E}">
  <dimension ref="B2:R72"/>
  <sheetViews>
    <sheetView showGridLines="0" zoomScaleNormal="100" workbookViewId="0">
      <selection activeCell="U15" sqref="U15"/>
    </sheetView>
  </sheetViews>
  <sheetFormatPr defaultRowHeight="14.4" x14ac:dyDescent="0.3"/>
  <cols>
    <col min="8" max="8" width="13.44140625" hidden="1" customWidth="1"/>
    <col min="9" max="9" width="14.33203125" hidden="1" customWidth="1"/>
    <col min="10" max="10" width="14.33203125" bestFit="1" customWidth="1"/>
    <col min="11" max="11" width="15" bestFit="1" customWidth="1"/>
    <col min="12" max="12" width="14.33203125" hidden="1" customWidth="1"/>
    <col min="13" max="13" width="15" customWidth="1"/>
    <col min="14" max="14" width="14.33203125" hidden="1" customWidth="1"/>
    <col min="15" max="15" width="16.88671875" customWidth="1"/>
    <col min="16" max="16" width="14.33203125" hidden="1" customWidth="1"/>
    <col min="17" max="18" width="9.109375" hidden="1" customWidth="1"/>
  </cols>
  <sheetData>
    <row r="2" spans="2:18" ht="23.4" x14ac:dyDescent="0.45">
      <c r="B2" s="146" t="s">
        <v>126</v>
      </c>
    </row>
    <row r="3" spans="2:18" ht="18" x14ac:dyDescent="0.35">
      <c r="B3" s="6" t="str">
        <f>'Dashboard Control'!B3</f>
        <v>Lake Bluff Campground</v>
      </c>
    </row>
    <row r="4" spans="2:18" x14ac:dyDescent="0.3">
      <c r="I4" s="282" t="s">
        <v>0</v>
      </c>
      <c r="J4" s="282"/>
      <c r="K4" s="282"/>
      <c r="L4" s="282"/>
      <c r="M4" s="282"/>
      <c r="N4" s="282"/>
      <c r="O4" s="282"/>
      <c r="P4" s="283"/>
      <c r="Q4" s="283"/>
      <c r="R4" s="283"/>
    </row>
    <row r="5" spans="2:18" x14ac:dyDescent="0.3">
      <c r="B5" s="4"/>
      <c r="C5" s="4"/>
      <c r="D5" s="4"/>
      <c r="E5" s="4"/>
      <c r="F5" s="4"/>
      <c r="G5" s="4"/>
      <c r="H5" s="4"/>
      <c r="I5" s="134" t="s">
        <v>1</v>
      </c>
      <c r="J5" s="154" t="s">
        <v>2</v>
      </c>
      <c r="K5" s="154" t="s">
        <v>3</v>
      </c>
      <c r="L5" s="154" t="s">
        <v>4</v>
      </c>
      <c r="M5" s="154" t="s">
        <v>5</v>
      </c>
      <c r="N5" s="154" t="s">
        <v>6</v>
      </c>
      <c r="O5" s="154" t="s">
        <v>7</v>
      </c>
      <c r="P5" s="59" t="s">
        <v>8</v>
      </c>
      <c r="Q5" s="59" t="s">
        <v>9</v>
      </c>
      <c r="R5" s="59" t="s">
        <v>10</v>
      </c>
    </row>
    <row r="6" spans="2:18" x14ac:dyDescent="0.3">
      <c r="B6" s="287" t="s">
        <v>127</v>
      </c>
      <c r="C6" s="287"/>
      <c r="D6" s="287"/>
      <c r="E6" s="287"/>
      <c r="F6" s="287"/>
      <c r="G6" s="287"/>
      <c r="H6" s="148"/>
      <c r="I6" s="4"/>
      <c r="J6" s="4"/>
      <c r="K6" s="4"/>
      <c r="L6" s="4"/>
      <c r="M6" s="4"/>
      <c r="N6" s="4"/>
      <c r="O6" s="4"/>
    </row>
    <row r="7" spans="2:18" x14ac:dyDescent="0.3">
      <c r="B7" s="285" t="s">
        <v>128</v>
      </c>
      <c r="C7" s="285"/>
      <c r="D7" s="285"/>
      <c r="E7" s="285"/>
      <c r="F7" s="285"/>
      <c r="G7" s="285"/>
      <c r="H7" s="96"/>
      <c r="I7" s="4"/>
      <c r="J7" s="223">
        <f>'Cash Flow 10 Yr'!F34</f>
        <v>296841.74850000005</v>
      </c>
      <c r="K7" s="223">
        <f>'Cash Flow 10 Yr'!G34</f>
        <v>310330.50249900023</v>
      </c>
      <c r="L7" s="42"/>
      <c r="M7" s="42">
        <f>'Cash Flow 10 Yr'!I34</f>
        <v>338953.59149849351</v>
      </c>
      <c r="N7" s="42"/>
      <c r="O7" s="42">
        <f>'Cash Flow 10 Yr'!K34</f>
        <v>369905.87328547449</v>
      </c>
    </row>
    <row r="8" spans="2:18" x14ac:dyDescent="0.3">
      <c r="B8" s="285" t="s">
        <v>97</v>
      </c>
      <c r="C8" s="285"/>
      <c r="D8" s="285"/>
      <c r="E8" s="285"/>
      <c r="F8" s="285"/>
      <c r="G8" s="285"/>
      <c r="H8" s="96"/>
      <c r="I8" s="4"/>
      <c r="J8" s="240">
        <f>'Dashboard Control'!$S$32</f>
        <v>7.4999999999999997E-2</v>
      </c>
      <c r="K8" s="240">
        <f>'Dashboard Control'!$S$32</f>
        <v>7.4999999999999997E-2</v>
      </c>
      <c r="L8" s="240"/>
      <c r="M8" s="240">
        <f>'Dashboard Control'!S32</f>
        <v>7.4999999999999997E-2</v>
      </c>
      <c r="N8" s="240"/>
      <c r="O8" s="240">
        <f>'Dashboard Control'!S32</f>
        <v>7.4999999999999997E-2</v>
      </c>
    </row>
    <row r="9" spans="2:18" x14ac:dyDescent="0.3">
      <c r="B9" s="285" t="s">
        <v>129</v>
      </c>
      <c r="C9" s="285"/>
      <c r="D9" s="285"/>
      <c r="E9" s="285"/>
      <c r="F9" s="285"/>
      <c r="G9" s="285"/>
      <c r="H9" s="96"/>
      <c r="I9" s="4"/>
      <c r="J9" s="223">
        <f>J7/J8</f>
        <v>3957889.9800000009</v>
      </c>
      <c r="K9" s="223">
        <f>K7/K8</f>
        <v>4137740.0333200032</v>
      </c>
      <c r="L9" s="42"/>
      <c r="M9" s="42">
        <f>M7/M8</f>
        <v>4519381.2199799139</v>
      </c>
      <c r="N9" s="42"/>
      <c r="O9" s="42">
        <f>O7/O8</f>
        <v>4932078.3104729932</v>
      </c>
    </row>
    <row r="10" spans="2:18" x14ac:dyDescent="0.3">
      <c r="B10" s="288" t="s">
        <v>130</v>
      </c>
      <c r="C10" s="288"/>
      <c r="D10" s="288"/>
      <c r="E10" s="288"/>
      <c r="F10" s="288"/>
      <c r="G10" s="288"/>
      <c r="H10" s="96"/>
      <c r="I10" s="4"/>
      <c r="J10" s="42">
        <f>-J9*'Dashboard Control'!$S$33</f>
        <v>-197894.49900000007</v>
      </c>
      <c r="K10" s="42">
        <f>-K9*'Dashboard Control'!$S$33</f>
        <v>-206887.00166600017</v>
      </c>
      <c r="L10" s="42"/>
      <c r="M10" s="42">
        <f>-M9*'Dashboard Control'!S33</f>
        <v>-225969.0609989957</v>
      </c>
      <c r="N10" s="42"/>
      <c r="O10" s="42">
        <f>-O9*'Dashboard Control'!S33</f>
        <v>-246603.91552364966</v>
      </c>
      <c r="P10" s="2"/>
      <c r="Q10" s="2"/>
      <c r="R10" s="2"/>
    </row>
    <row r="11" spans="2:18" x14ac:dyDescent="0.3">
      <c r="B11" s="285" t="s">
        <v>131</v>
      </c>
      <c r="C11" s="285"/>
      <c r="D11" s="285"/>
      <c r="E11" s="285"/>
      <c r="F11" s="285"/>
      <c r="G11" s="285"/>
      <c r="H11" s="96"/>
      <c r="I11" s="4"/>
      <c r="J11" s="42">
        <f>SUM(J9:J10)</f>
        <v>3759995.4810000006</v>
      </c>
      <c r="K11" s="42">
        <f>SUM(K9:K10)</f>
        <v>3930853.0316540031</v>
      </c>
      <c r="L11" s="42"/>
      <c r="M11" s="42">
        <f>SUM(M9:M10)</f>
        <v>4293412.1589809181</v>
      </c>
      <c r="N11" s="42"/>
      <c r="O11" s="42">
        <f>SUM(O9:O10)</f>
        <v>4685474.3949493431</v>
      </c>
    </row>
    <row r="12" spans="2:18" x14ac:dyDescent="0.3">
      <c r="B12" s="286"/>
      <c r="C12" s="286"/>
      <c r="D12" s="286"/>
      <c r="E12" s="286"/>
      <c r="F12" s="286"/>
      <c r="G12" s="286"/>
      <c r="H12" s="96"/>
      <c r="I12" s="4"/>
      <c r="J12" s="42"/>
      <c r="K12" s="42"/>
      <c r="L12" s="42"/>
      <c r="M12" s="42"/>
      <c r="N12" s="42"/>
      <c r="O12" s="42"/>
    </row>
    <row r="13" spans="2:18" x14ac:dyDescent="0.3">
      <c r="B13" s="287" t="s">
        <v>132</v>
      </c>
      <c r="C13" s="287"/>
      <c r="D13" s="287"/>
      <c r="E13" s="287"/>
      <c r="F13" s="287"/>
      <c r="G13" s="287"/>
      <c r="H13" s="148"/>
      <c r="I13" s="4"/>
      <c r="J13" s="42"/>
      <c r="K13" s="42"/>
      <c r="L13" s="42"/>
      <c r="M13" s="42"/>
      <c r="N13" s="42"/>
      <c r="O13" s="42"/>
    </row>
    <row r="14" spans="2:18" x14ac:dyDescent="0.3">
      <c r="B14" s="285" t="s">
        <v>133</v>
      </c>
      <c r="C14" s="285"/>
      <c r="D14" s="285"/>
      <c r="E14" s="285"/>
      <c r="F14" s="285"/>
      <c r="G14" s="285"/>
      <c r="H14" s="96"/>
      <c r="I14" s="4"/>
      <c r="J14" s="42">
        <f>J11</f>
        <v>3759995.4810000006</v>
      </c>
      <c r="K14" s="42">
        <f>K11</f>
        <v>3930853.0316540031</v>
      </c>
      <c r="L14" s="42"/>
      <c r="M14" s="42">
        <f>M11</f>
        <v>4293412.1589809181</v>
      </c>
      <c r="N14" s="42"/>
      <c r="O14" s="42">
        <f>O11</f>
        <v>4685474.3949493431</v>
      </c>
    </row>
    <row r="15" spans="2:18" x14ac:dyDescent="0.3">
      <c r="B15" s="285" t="s">
        <v>134</v>
      </c>
      <c r="C15" s="285"/>
      <c r="D15" s="285"/>
      <c r="E15" s="285"/>
      <c r="F15" s="285"/>
      <c r="G15" s="285"/>
      <c r="H15" s="96"/>
      <c r="I15" s="4"/>
      <c r="J15" s="42">
        <f>'Dashboard Control'!$N$38</f>
        <v>69100</v>
      </c>
      <c r="K15" s="42">
        <f>'Dashboard Control'!$N$38</f>
        <v>69100</v>
      </c>
      <c r="L15" s="42"/>
      <c r="M15" s="42">
        <f>'Dashboard Control'!N38</f>
        <v>69100</v>
      </c>
      <c r="N15" s="42"/>
      <c r="O15" s="42">
        <f>'Dashboard Control'!N38</f>
        <v>69100</v>
      </c>
    </row>
    <row r="16" spans="2:18" x14ac:dyDescent="0.3">
      <c r="B16" s="285" t="s">
        <v>135</v>
      </c>
      <c r="C16" s="285"/>
      <c r="D16" s="285"/>
      <c r="E16" s="285"/>
      <c r="F16" s="285"/>
      <c r="G16" s="285"/>
      <c r="H16" s="96"/>
      <c r="I16" s="4"/>
      <c r="J16" s="42">
        <f>-Amorization!M35</f>
        <v>-1598369.6514304357</v>
      </c>
      <c r="K16" s="42">
        <f>-Amorization!M47</f>
        <v>-1536466.986041144</v>
      </c>
      <c r="L16" s="42"/>
      <c r="M16" s="42">
        <f>-Amorization!M71</f>
        <v>-1404992.8743834537</v>
      </c>
      <c r="N16" s="42"/>
      <c r="O16" s="42">
        <f>-Amorization!M95</f>
        <v>-1262587.616029734</v>
      </c>
    </row>
    <row r="17" spans="2:15" x14ac:dyDescent="0.3">
      <c r="B17" s="285" t="s">
        <v>136</v>
      </c>
      <c r="C17" s="285"/>
      <c r="D17" s="285"/>
      <c r="E17" s="285"/>
      <c r="F17" s="285"/>
      <c r="G17" s="285"/>
      <c r="H17" s="96"/>
      <c r="I17" s="4"/>
      <c r="J17" s="42">
        <f>SUM(J14:J16)</f>
        <v>2230725.8295695651</v>
      </c>
      <c r="K17" s="42">
        <f>SUM(K14:K16)</f>
        <v>2463486.0456128591</v>
      </c>
      <c r="L17" s="42"/>
      <c r="M17" s="42">
        <f>SUM(M14:M16)</f>
        <v>2957519.2845974644</v>
      </c>
      <c r="N17" s="42"/>
      <c r="O17" s="42">
        <f>SUM(O14:O16)</f>
        <v>3491986.7789196093</v>
      </c>
    </row>
    <row r="18" spans="2:15" x14ac:dyDescent="0.3">
      <c r="B18" s="285" t="s">
        <v>137</v>
      </c>
      <c r="C18" s="285"/>
      <c r="D18" s="285"/>
      <c r="E18" s="285"/>
      <c r="F18" s="285"/>
      <c r="G18" s="285"/>
      <c r="H18" s="96"/>
      <c r="I18" s="4"/>
      <c r="J18" s="42">
        <f>'Cash Flow 10 Yr'!E48</f>
        <v>983250</v>
      </c>
      <c r="K18" s="42">
        <f>'Cash Flow 10 Yr'!G48</f>
        <v>983250</v>
      </c>
      <c r="L18" s="42"/>
      <c r="M18" s="42">
        <f>'Cash Flow 10 Yr'!I48</f>
        <v>983250</v>
      </c>
      <c r="N18" s="42"/>
      <c r="O18" s="42">
        <f>'Cash Flow 10 Yr'!K48</f>
        <v>983250</v>
      </c>
    </row>
    <row r="19" spans="2:15" x14ac:dyDescent="0.3">
      <c r="B19" s="285" t="s">
        <v>138</v>
      </c>
      <c r="C19" s="285"/>
      <c r="D19" s="285"/>
      <c r="E19" s="285"/>
      <c r="F19" s="285"/>
      <c r="G19" s="285"/>
      <c r="H19" s="96"/>
      <c r="I19" s="4"/>
      <c r="J19" s="42">
        <f>(J17-J18)*-0.3</f>
        <v>-374242.74887086952</v>
      </c>
      <c r="K19" s="42">
        <f>(K17-K18)*-0.3</f>
        <v>-444070.81368385773</v>
      </c>
      <c r="L19" s="42"/>
      <c r="M19" s="42">
        <f>(M17-M18)*-0.3</f>
        <v>-592280.78537923924</v>
      </c>
      <c r="N19" s="42"/>
      <c r="O19" s="42">
        <f>(O17-O18)*-0.3</f>
        <v>-752621.03367588273</v>
      </c>
    </row>
    <row r="20" spans="2:15" x14ac:dyDescent="0.3">
      <c r="B20" s="286" t="s">
        <v>139</v>
      </c>
      <c r="C20" s="286"/>
      <c r="D20" s="286"/>
      <c r="E20" s="286"/>
      <c r="F20" s="286"/>
      <c r="G20" s="286"/>
      <c r="H20" s="96"/>
      <c r="I20" s="4"/>
      <c r="J20" s="42">
        <f>J17-J18+J19</f>
        <v>873233.08069869562</v>
      </c>
      <c r="K20" s="42">
        <f>K17-K18+K19</f>
        <v>1036165.2319290014</v>
      </c>
      <c r="L20" s="42"/>
      <c r="M20" s="42">
        <f>M17-M18+M19</f>
        <v>1381988.499218225</v>
      </c>
      <c r="N20" s="42"/>
      <c r="O20" s="42">
        <f>O17-O18+O19</f>
        <v>1756115.7452437265</v>
      </c>
    </row>
    <row r="21" spans="2:15" x14ac:dyDescent="0.3">
      <c r="B21" s="286" t="s">
        <v>140</v>
      </c>
      <c r="C21" s="286"/>
      <c r="D21" s="286"/>
      <c r="E21" s="286"/>
      <c r="F21" s="286"/>
      <c r="G21" s="286"/>
      <c r="H21" s="96"/>
      <c r="I21" s="4"/>
      <c r="J21" s="42">
        <f>SUM(I37:J37)</f>
        <v>157320</v>
      </c>
      <c r="K21" s="42">
        <f>SUM(I48:K48)</f>
        <v>235980</v>
      </c>
      <c r="L21" s="42"/>
      <c r="M21" s="42">
        <f>SUM(I59:M59)</f>
        <v>393300</v>
      </c>
      <c r="N21" s="42"/>
      <c r="O21" s="42">
        <f>SUM(I70:O70)</f>
        <v>550620</v>
      </c>
    </row>
    <row r="22" spans="2:15" x14ac:dyDescent="0.3">
      <c r="B22" s="286" t="s">
        <v>141</v>
      </c>
      <c r="C22" s="286"/>
      <c r="D22" s="286"/>
      <c r="E22" s="286"/>
      <c r="F22" s="286"/>
      <c r="G22" s="286"/>
      <c r="H22" s="96"/>
      <c r="I22" s="4"/>
      <c r="J22" s="42">
        <f>SUM(J20:J21)</f>
        <v>1030553.0806986956</v>
      </c>
      <c r="K22" s="42">
        <f>SUM(K20:K21)</f>
        <v>1272145.2319290014</v>
      </c>
      <c r="L22" s="42"/>
      <c r="M22" s="42">
        <f>SUM(M20:M21)</f>
        <v>1775288.499218225</v>
      </c>
      <c r="N22" s="42"/>
      <c r="O22" s="42">
        <f>SUM(O20:O21)</f>
        <v>2306735.7452437263</v>
      </c>
    </row>
    <row r="23" spans="2:15" x14ac:dyDescent="0.3">
      <c r="B23" s="286"/>
      <c r="C23" s="286"/>
      <c r="D23" s="286"/>
      <c r="E23" s="286"/>
      <c r="F23" s="286"/>
      <c r="G23" s="286"/>
      <c r="H23" s="96"/>
      <c r="I23" s="4"/>
      <c r="J23" s="42"/>
      <c r="K23" s="42"/>
      <c r="L23" s="42"/>
      <c r="M23" s="42"/>
      <c r="N23" s="42"/>
      <c r="O23" s="42"/>
    </row>
    <row r="24" spans="2:15" x14ac:dyDescent="0.3">
      <c r="B24" s="287" t="s">
        <v>142</v>
      </c>
      <c r="C24" s="287"/>
      <c r="D24" s="287"/>
      <c r="E24" s="287"/>
      <c r="F24" s="287"/>
      <c r="G24" s="287"/>
      <c r="H24" s="148"/>
      <c r="I24" s="4"/>
      <c r="J24" s="42"/>
      <c r="K24" s="42"/>
      <c r="L24" s="42"/>
      <c r="M24" s="42"/>
      <c r="N24" s="42"/>
      <c r="O24" s="42"/>
    </row>
    <row r="25" spans="2:15" x14ac:dyDescent="0.3">
      <c r="B25" s="285" t="s">
        <v>143</v>
      </c>
      <c r="C25" s="285"/>
      <c r="D25" s="285"/>
      <c r="E25" s="285"/>
      <c r="F25" s="285"/>
      <c r="G25" s="285"/>
      <c r="H25" s="96"/>
      <c r="I25" s="4"/>
      <c r="J25" s="42">
        <f>J22</f>
        <v>1030553.0806986956</v>
      </c>
      <c r="K25" s="42">
        <f>K22</f>
        <v>1272145.2319290014</v>
      </c>
      <c r="L25" s="42"/>
      <c r="M25" s="42">
        <f>M22</f>
        <v>1775288.499218225</v>
      </c>
      <c r="N25" s="42"/>
      <c r="O25" s="42">
        <f>O22</f>
        <v>2306735.7452437263</v>
      </c>
    </row>
    <row r="26" spans="2:15" x14ac:dyDescent="0.3">
      <c r="B26" s="284" t="s">
        <v>144</v>
      </c>
      <c r="C26" s="284"/>
      <c r="D26" s="284"/>
      <c r="E26" s="284"/>
      <c r="F26" s="284"/>
      <c r="G26" s="284"/>
      <c r="H26" s="149"/>
      <c r="I26" s="150"/>
      <c r="J26" s="151">
        <f>J25/'Dashboard Control'!N41</f>
        <v>1.0481089048550172</v>
      </c>
      <c r="K26" s="151">
        <f>K25/'Dashboard Control'!N41</f>
        <v>1.2938166610007642</v>
      </c>
      <c r="L26" s="150"/>
      <c r="M26" s="151">
        <f>M25/'Dashboard Control'!N41</f>
        <v>1.8055311459122554</v>
      </c>
      <c r="N26" s="150"/>
      <c r="O26" s="151">
        <f>O25/'Dashboard Control'!N41</f>
        <v>2.3460317775171382</v>
      </c>
    </row>
    <row r="27" spans="2:15" x14ac:dyDescent="0.3">
      <c r="B27" s="285" t="s">
        <v>145</v>
      </c>
      <c r="C27" s="285"/>
      <c r="D27" s="285"/>
      <c r="E27" s="285"/>
      <c r="F27" s="285"/>
      <c r="G27" s="285"/>
      <c r="H27" s="152"/>
      <c r="I27" s="4"/>
      <c r="J27" s="153">
        <f>'IRR Calculator'!D35</f>
        <v>0.43737954497337339</v>
      </c>
      <c r="K27" s="153">
        <f>'IRR Calculator'!E35</f>
        <v>0.33438531756401069</v>
      </c>
      <c r="L27" s="4"/>
      <c r="M27" s="153">
        <f>'IRR Calculator'!F35</f>
        <v>0.25159670710563664</v>
      </c>
      <c r="N27" s="4"/>
      <c r="O27" s="153">
        <f>'IRR Calculator'!G35</f>
        <v>0.21526718735694886</v>
      </c>
    </row>
    <row r="30" spans="2:15" x14ac:dyDescent="0.3">
      <c r="B30" s="256" t="s">
        <v>132</v>
      </c>
      <c r="C30" s="256"/>
      <c r="D30" s="256"/>
      <c r="E30" s="256"/>
      <c r="F30" s="256"/>
      <c r="G30" s="256"/>
    </row>
    <row r="31" spans="2:15" x14ac:dyDescent="0.3">
      <c r="B31" t="s">
        <v>146</v>
      </c>
      <c r="I31" s="27">
        <f>-'Dashboard Control'!N41</f>
        <v>-983250</v>
      </c>
      <c r="J31" s="27">
        <f>'Dashboard Control'!N18</f>
        <v>983250</v>
      </c>
    </row>
    <row r="32" spans="2:15" x14ac:dyDescent="0.3">
      <c r="B32" t="s">
        <v>133</v>
      </c>
      <c r="J32" s="27">
        <f>J11-J31</f>
        <v>2776745.4810000006</v>
      </c>
    </row>
    <row r="33" spans="2:11" x14ac:dyDescent="0.3">
      <c r="B33" t="s">
        <v>135</v>
      </c>
      <c r="J33" s="45">
        <f>-Amorization!M35</f>
        <v>-1598369.6514304357</v>
      </c>
    </row>
    <row r="34" spans="2:11" x14ac:dyDescent="0.3">
      <c r="B34" t="s">
        <v>134</v>
      </c>
      <c r="J34" s="27">
        <f>'Dashboard Control'!N38</f>
        <v>69100</v>
      </c>
    </row>
    <row r="35" spans="2:11" x14ac:dyDescent="0.3">
      <c r="B35" t="s">
        <v>138</v>
      </c>
      <c r="J35" s="27">
        <f>-0.3*SUM(J32:J34)</f>
        <v>-374242.74887086946</v>
      </c>
    </row>
    <row r="36" spans="2:11" x14ac:dyDescent="0.3">
      <c r="B36" t="s">
        <v>23</v>
      </c>
      <c r="J36" s="27"/>
    </row>
    <row r="37" spans="2:11" x14ac:dyDescent="0.3">
      <c r="B37" t="s">
        <v>147</v>
      </c>
      <c r="I37" s="27">
        <f>'Cash Flow 10 Yr'!E46</f>
        <v>78660</v>
      </c>
      <c r="J37" s="27">
        <f>'Cash Flow 10 Yr'!F46</f>
        <v>78660</v>
      </c>
    </row>
    <row r="38" spans="2:11" ht="15" thickBot="1" x14ac:dyDescent="0.35">
      <c r="B38" t="s">
        <v>148</v>
      </c>
      <c r="I38" s="54">
        <f>SUM(I31:I37)</f>
        <v>-904590</v>
      </c>
      <c r="J38" s="54">
        <f>SUM(J31:J37)</f>
        <v>1935143.0806986957</v>
      </c>
      <c r="K38" s="55">
        <f>SUM(J31:J36)</f>
        <v>1856483.0806986957</v>
      </c>
    </row>
    <row r="39" spans="2:11" x14ac:dyDescent="0.3">
      <c r="B39" t="s">
        <v>149</v>
      </c>
      <c r="I39" s="27">
        <f>I38</f>
        <v>-904590</v>
      </c>
      <c r="J39" s="27">
        <f>I39+J38</f>
        <v>1030553.0806986957</v>
      </c>
    </row>
    <row r="41" spans="2:11" x14ac:dyDescent="0.3">
      <c r="B41" s="256" t="s">
        <v>132</v>
      </c>
      <c r="C41" s="256"/>
      <c r="D41" s="256"/>
      <c r="E41" s="256"/>
      <c r="F41" s="256"/>
      <c r="G41" s="256"/>
    </row>
    <row r="42" spans="2:11" x14ac:dyDescent="0.3">
      <c r="B42" t="s">
        <v>146</v>
      </c>
      <c r="I42" s="27">
        <f>-'Dashboard Control'!N41</f>
        <v>-983250</v>
      </c>
      <c r="K42" s="27">
        <f>'Dashboard Control'!N41</f>
        <v>983250</v>
      </c>
    </row>
    <row r="43" spans="2:11" x14ac:dyDescent="0.3">
      <c r="B43" t="s">
        <v>133</v>
      </c>
      <c r="K43" s="27">
        <f>K11-K42</f>
        <v>2947603.0316540031</v>
      </c>
    </row>
    <row r="44" spans="2:11" x14ac:dyDescent="0.3">
      <c r="B44" t="s">
        <v>135</v>
      </c>
      <c r="K44" s="45">
        <f>-Amorization!M47</f>
        <v>-1536466.986041144</v>
      </c>
    </row>
    <row r="45" spans="2:11" x14ac:dyDescent="0.3">
      <c r="B45" t="s">
        <v>134</v>
      </c>
      <c r="K45" s="27">
        <f>'Dashboard Control'!N38</f>
        <v>69100</v>
      </c>
    </row>
    <row r="46" spans="2:11" x14ac:dyDescent="0.3">
      <c r="B46" t="s">
        <v>138</v>
      </c>
      <c r="K46" s="27">
        <f>-SUM(K43:K45)*0.3</f>
        <v>-444070.81368385773</v>
      </c>
    </row>
    <row r="47" spans="2:11" x14ac:dyDescent="0.3">
      <c r="B47" t="s">
        <v>23</v>
      </c>
    </row>
    <row r="48" spans="2:11" x14ac:dyDescent="0.3">
      <c r="B48" t="s">
        <v>147</v>
      </c>
      <c r="H48" s="58"/>
      <c r="I48" s="27">
        <f>'Cash Flow 10 Yr'!E46</f>
        <v>78660</v>
      </c>
      <c r="J48" s="27">
        <f>'Cash Flow 10 Yr'!F46</f>
        <v>78660</v>
      </c>
      <c r="K48" s="27">
        <f>'Cash Flow 10 Yr'!G46</f>
        <v>78660</v>
      </c>
    </row>
    <row r="49" spans="2:15" ht="15" thickBot="1" x14ac:dyDescent="0.35">
      <c r="B49" t="s">
        <v>148</v>
      </c>
      <c r="H49" s="58"/>
      <c r="I49" s="54">
        <f>SUM(I42:I48)</f>
        <v>-904590</v>
      </c>
      <c r="J49" s="54">
        <f>SUM(J42:J48)</f>
        <v>78660</v>
      </c>
      <c r="K49" s="54">
        <f>SUM(K42:K48)</f>
        <v>2098075.2319290014</v>
      </c>
      <c r="L49" s="55">
        <f>SUM(K42:K47)</f>
        <v>2019415.2319290014</v>
      </c>
    </row>
    <row r="50" spans="2:15" x14ac:dyDescent="0.3">
      <c r="B50" t="s">
        <v>149</v>
      </c>
      <c r="I50" s="27">
        <f>I49</f>
        <v>-904590</v>
      </c>
      <c r="J50" s="27">
        <f>I50+J49</f>
        <v>-825930</v>
      </c>
      <c r="K50" s="27">
        <f>J50+K49</f>
        <v>1272145.2319290014</v>
      </c>
    </row>
    <row r="52" spans="2:15" x14ac:dyDescent="0.3">
      <c r="B52" s="256" t="s">
        <v>132</v>
      </c>
      <c r="C52" s="256"/>
      <c r="D52" s="256"/>
      <c r="E52" s="256"/>
      <c r="F52" s="256"/>
      <c r="G52" s="256"/>
    </row>
    <row r="53" spans="2:15" x14ac:dyDescent="0.3">
      <c r="B53" t="s">
        <v>146</v>
      </c>
      <c r="I53" s="27">
        <f>I42</f>
        <v>-983250</v>
      </c>
      <c r="M53" s="27">
        <f>'Dashboard Control'!N41</f>
        <v>983250</v>
      </c>
    </row>
    <row r="54" spans="2:15" x14ac:dyDescent="0.3">
      <c r="B54" t="s">
        <v>133</v>
      </c>
      <c r="M54" s="27">
        <f>M11-M53</f>
        <v>3310162.1589809181</v>
      </c>
    </row>
    <row r="55" spans="2:15" x14ac:dyDescent="0.3">
      <c r="B55" t="s">
        <v>135</v>
      </c>
      <c r="M55" s="45">
        <f>-Amorization!M71</f>
        <v>-1404992.8743834537</v>
      </c>
    </row>
    <row r="56" spans="2:15" x14ac:dyDescent="0.3">
      <c r="B56" t="s">
        <v>134</v>
      </c>
      <c r="M56" s="27">
        <f>'Dashboard Control'!N38</f>
        <v>69100</v>
      </c>
    </row>
    <row r="57" spans="2:15" x14ac:dyDescent="0.3">
      <c r="B57" t="s">
        <v>138</v>
      </c>
      <c r="M57" s="27">
        <f>-SUM(M54:M56)*0.3</f>
        <v>-592280.78537923924</v>
      </c>
    </row>
    <row r="58" spans="2:15" x14ac:dyDescent="0.3">
      <c r="B58" t="s">
        <v>23</v>
      </c>
    </row>
    <row r="59" spans="2:15" x14ac:dyDescent="0.3">
      <c r="B59" t="s">
        <v>147</v>
      </c>
      <c r="I59" s="27">
        <f>'Cash Flow 10 Yr'!E46</f>
        <v>78660</v>
      </c>
      <c r="J59" s="27">
        <f>'Cash Flow 10 Yr'!E46</f>
        <v>78660</v>
      </c>
      <c r="K59" s="27">
        <f>'Cash Flow 10 Yr'!F46</f>
        <v>78660</v>
      </c>
      <c r="L59" s="27">
        <f>'Cash Flow 10 Yr'!G46</f>
        <v>78660</v>
      </c>
      <c r="M59" s="27">
        <f>'Cash Flow 10 Yr'!H46</f>
        <v>78660</v>
      </c>
    </row>
    <row r="60" spans="2:15" ht="15" thickBot="1" x14ac:dyDescent="0.35">
      <c r="B60" t="s">
        <v>148</v>
      </c>
      <c r="I60" s="54">
        <f>SUM(I53:I59)</f>
        <v>-904590</v>
      </c>
      <c r="J60" s="54">
        <f t="shared" ref="J60:M60" si="0">SUM(J53:J59)</f>
        <v>78660</v>
      </c>
      <c r="K60" s="54">
        <f t="shared" si="0"/>
        <v>78660</v>
      </c>
      <c r="L60" s="54">
        <f t="shared" si="0"/>
        <v>78660</v>
      </c>
      <c r="M60" s="54">
        <f t="shared" si="0"/>
        <v>2443898.499218225</v>
      </c>
      <c r="N60" s="60">
        <f>SUM(M53:M58)</f>
        <v>2365238.499218225</v>
      </c>
    </row>
    <row r="61" spans="2:15" x14ac:dyDescent="0.3">
      <c r="B61" t="s">
        <v>149</v>
      </c>
      <c r="I61" s="27">
        <f>I60</f>
        <v>-904590</v>
      </c>
      <c r="J61" s="27">
        <f>I61+J60</f>
        <v>-825930</v>
      </c>
      <c r="K61" s="27">
        <f t="shared" ref="K61:M61" si="1">J61+K60</f>
        <v>-747270</v>
      </c>
      <c r="L61" s="27">
        <f t="shared" si="1"/>
        <v>-668610</v>
      </c>
      <c r="M61" s="27">
        <f t="shared" si="1"/>
        <v>1775288.499218225</v>
      </c>
    </row>
    <row r="63" spans="2:15" x14ac:dyDescent="0.3">
      <c r="B63" s="256" t="s">
        <v>132</v>
      </c>
      <c r="C63" s="256"/>
      <c r="D63" s="256"/>
      <c r="E63" s="256"/>
      <c r="F63" s="256"/>
      <c r="G63" s="256"/>
    </row>
    <row r="64" spans="2:15" x14ac:dyDescent="0.3">
      <c r="B64" t="s">
        <v>146</v>
      </c>
      <c r="I64" s="27">
        <f>I53</f>
        <v>-983250</v>
      </c>
      <c r="O64" s="27">
        <f>'Dashboard Control'!N41</f>
        <v>983250</v>
      </c>
    </row>
    <row r="65" spans="2:16" x14ac:dyDescent="0.3">
      <c r="B65" t="s">
        <v>133</v>
      </c>
      <c r="O65" s="27">
        <f>O11-O64</f>
        <v>3702224.3949493431</v>
      </c>
    </row>
    <row r="66" spans="2:16" x14ac:dyDescent="0.3">
      <c r="B66" t="s">
        <v>135</v>
      </c>
      <c r="O66" s="45">
        <f>-Amorization!M95</f>
        <v>-1262587.616029734</v>
      </c>
    </row>
    <row r="67" spans="2:16" x14ac:dyDescent="0.3">
      <c r="B67" t="s">
        <v>134</v>
      </c>
      <c r="O67" s="27">
        <f>'Dashboard Control'!N38</f>
        <v>69100</v>
      </c>
    </row>
    <row r="68" spans="2:16" x14ac:dyDescent="0.3">
      <c r="B68" t="s">
        <v>138</v>
      </c>
      <c r="O68" s="27">
        <f>-SUM(O65:O67)*0.3</f>
        <v>-752621.03367588273</v>
      </c>
    </row>
    <row r="69" spans="2:16" x14ac:dyDescent="0.3">
      <c r="B69" t="s">
        <v>23</v>
      </c>
    </row>
    <row r="70" spans="2:16" x14ac:dyDescent="0.3">
      <c r="B70" t="s">
        <v>147</v>
      </c>
      <c r="I70" s="27">
        <f>'Cash Flow 10 Yr'!E46</f>
        <v>78660</v>
      </c>
      <c r="J70" s="27">
        <f>'Cash Flow 10 Yr'!F46</f>
        <v>78660</v>
      </c>
      <c r="K70" s="27">
        <f>'Cash Flow 10 Yr'!G46</f>
        <v>78660</v>
      </c>
      <c r="L70" s="27">
        <f>'Cash Flow 10 Yr'!H46</f>
        <v>78660</v>
      </c>
      <c r="M70" s="27">
        <f>'Cash Flow 10 Yr'!I46</f>
        <v>78660</v>
      </c>
      <c r="N70" s="27">
        <f>'Cash Flow 10 Yr'!J46</f>
        <v>78660</v>
      </c>
      <c r="O70" s="27">
        <f>'Cash Flow 10 Yr'!K46</f>
        <v>78660</v>
      </c>
    </row>
    <row r="71" spans="2:16" ht="15" thickBot="1" x14ac:dyDescent="0.35">
      <c r="B71" t="s">
        <v>148</v>
      </c>
      <c r="I71" s="54">
        <f>SUM(I64:I70)</f>
        <v>-904590</v>
      </c>
      <c r="J71" s="54">
        <f t="shared" ref="J71:O71" si="2">SUM(J64:J70)</f>
        <v>78660</v>
      </c>
      <c r="K71" s="54">
        <f t="shared" si="2"/>
        <v>78660</v>
      </c>
      <c r="L71" s="54">
        <f t="shared" si="2"/>
        <v>78660</v>
      </c>
      <c r="M71" s="54">
        <f t="shared" si="2"/>
        <v>78660</v>
      </c>
      <c r="N71" s="54">
        <f t="shared" si="2"/>
        <v>78660</v>
      </c>
      <c r="O71" s="54">
        <f t="shared" si="2"/>
        <v>2818025.7452437263</v>
      </c>
      <c r="P71" s="55">
        <f>SUM(O64:O69)</f>
        <v>2739365.7452437263</v>
      </c>
    </row>
    <row r="72" spans="2:16" x14ac:dyDescent="0.3">
      <c r="B72" t="s">
        <v>149</v>
      </c>
      <c r="I72" s="27">
        <f>I71</f>
        <v>-904590</v>
      </c>
      <c r="J72" s="27">
        <f>I72+J71</f>
        <v>-825930</v>
      </c>
      <c r="K72" s="27">
        <f t="shared" ref="K72:O72" si="3">J72+K71</f>
        <v>-747270</v>
      </c>
      <c r="L72" s="27">
        <f t="shared" si="3"/>
        <v>-668610</v>
      </c>
      <c r="M72" s="27">
        <f t="shared" si="3"/>
        <v>-589950</v>
      </c>
      <c r="N72" s="27">
        <f t="shared" si="3"/>
        <v>-511290</v>
      </c>
      <c r="O72" s="27">
        <f t="shared" si="3"/>
        <v>2306735.7452437263</v>
      </c>
    </row>
  </sheetData>
  <mergeCells count="27">
    <mergeCell ref="B22:G22"/>
    <mergeCell ref="B20:G20"/>
    <mergeCell ref="B19:G19"/>
    <mergeCell ref="B18:G18"/>
    <mergeCell ref="B17:G17"/>
    <mergeCell ref="B9:G9"/>
    <mergeCell ref="B8:G8"/>
    <mergeCell ref="B7:G7"/>
    <mergeCell ref="B14:G14"/>
    <mergeCell ref="B21:G21"/>
    <mergeCell ref="B16:G16"/>
    <mergeCell ref="I4:R4"/>
    <mergeCell ref="B30:G30"/>
    <mergeCell ref="B41:G41"/>
    <mergeCell ref="B52:G52"/>
    <mergeCell ref="B63:G63"/>
    <mergeCell ref="B26:G26"/>
    <mergeCell ref="B27:G27"/>
    <mergeCell ref="B12:G12"/>
    <mergeCell ref="B23:G23"/>
    <mergeCell ref="B13:G13"/>
    <mergeCell ref="B25:G25"/>
    <mergeCell ref="B15:G15"/>
    <mergeCell ref="B6:G6"/>
    <mergeCell ref="B24:G24"/>
    <mergeCell ref="B11:G11"/>
    <mergeCell ref="B10:G10"/>
  </mergeCells>
  <phoneticPr fontId="8" type="noConversion"/>
  <pageMargins left="0.7" right="0.7" top="0.75" bottom="0.75" header="0.3" footer="0.3"/>
  <pageSetup scale="63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52C4-0980-4122-83CB-3042B25E77F0}">
  <dimension ref="B2:G35"/>
  <sheetViews>
    <sheetView topLeftCell="A16" zoomScaleNormal="100" workbookViewId="0">
      <selection activeCell="E31" sqref="E31"/>
    </sheetView>
  </sheetViews>
  <sheetFormatPr defaultRowHeight="14.4" x14ac:dyDescent="0.3"/>
  <cols>
    <col min="2" max="2" width="10.6640625" bestFit="1" customWidth="1"/>
    <col min="4" max="7" width="14.33203125" bestFit="1" customWidth="1"/>
  </cols>
  <sheetData>
    <row r="2" spans="2:7" ht="21" x14ac:dyDescent="0.4">
      <c r="B2" s="7" t="s">
        <v>150</v>
      </c>
    </row>
    <row r="3" spans="2:7" ht="18" x14ac:dyDescent="0.35">
      <c r="B3" s="6" t="str">
        <f>'Dashboard Control'!B3</f>
        <v>Lake Bluff Campground</v>
      </c>
    </row>
    <row r="5" spans="2:7" x14ac:dyDescent="0.3">
      <c r="D5" s="282"/>
      <c r="E5" s="282"/>
      <c r="F5" s="282"/>
      <c r="G5" s="282"/>
    </row>
    <row r="6" spans="2:7" x14ac:dyDescent="0.3">
      <c r="B6" s="78" t="s">
        <v>151</v>
      </c>
      <c r="C6" s="2"/>
      <c r="D6" s="15" t="s">
        <v>2</v>
      </c>
      <c r="E6" s="15" t="s">
        <v>3</v>
      </c>
      <c r="F6" s="16" t="s">
        <v>5</v>
      </c>
      <c r="G6" s="56" t="s">
        <v>7</v>
      </c>
    </row>
    <row r="7" spans="2:7" x14ac:dyDescent="0.3">
      <c r="B7" s="18">
        <v>43831</v>
      </c>
      <c r="D7" s="27">
        <f>-'Dashboard Control'!$N$18</f>
        <v>-983250</v>
      </c>
      <c r="E7" s="27">
        <f>-'Dashboard Control'!$N$18</f>
        <v>-983250</v>
      </c>
      <c r="F7" s="27">
        <f>E7</f>
        <v>-983250</v>
      </c>
      <c r="G7" s="27">
        <f>F7</f>
        <v>-983250</v>
      </c>
    </row>
    <row r="8" spans="2:7" x14ac:dyDescent="0.3">
      <c r="B8" s="18">
        <v>44027</v>
      </c>
      <c r="D8" s="27">
        <f>'Cash Flow 10 Yr'!E46/3</f>
        <v>26220</v>
      </c>
      <c r="E8" s="27">
        <f>'Cash Flow 10 Yr'!F46/3</f>
        <v>26220</v>
      </c>
      <c r="F8" s="27">
        <f>'Cash Flow 10 Yr'!G46/3</f>
        <v>26220</v>
      </c>
      <c r="G8" s="27">
        <f>'Cash Flow 10 Yr'!H46/3</f>
        <v>26220</v>
      </c>
    </row>
    <row r="9" spans="2:7" x14ac:dyDescent="0.3">
      <c r="B9" s="52">
        <v>44119</v>
      </c>
      <c r="C9" s="4"/>
      <c r="D9" s="27">
        <f>'Cash Flow 10 Yr'!$E$46/3</f>
        <v>26220</v>
      </c>
      <c r="E9" s="27">
        <f>'Cash Flow 10 Yr'!$E$46/3</f>
        <v>26220</v>
      </c>
      <c r="F9" s="27">
        <f>'Cash Flow 10 Yr'!$E$46/3</f>
        <v>26220</v>
      </c>
      <c r="G9" s="27">
        <f>'Cash Flow 10 Yr'!$E$46/3</f>
        <v>26220</v>
      </c>
    </row>
    <row r="10" spans="2:7" x14ac:dyDescent="0.3">
      <c r="B10" s="18">
        <v>44211</v>
      </c>
      <c r="D10" s="27">
        <f>'Cash Flow 10 Yr'!$E$48*0.02</f>
        <v>19665</v>
      </c>
      <c r="E10" s="27">
        <f>'Cash Flow 10 Yr'!$E$48*0.02</f>
        <v>19665</v>
      </c>
      <c r="F10" s="27">
        <f>'Cash Flow 10 Yr'!$E$48*0.02</f>
        <v>19665</v>
      </c>
      <c r="G10" s="27">
        <f>'Cash Flow 10 Yr'!$E$48*0.02</f>
        <v>19665</v>
      </c>
    </row>
    <row r="11" spans="2:7" x14ac:dyDescent="0.3">
      <c r="B11" s="18">
        <v>44301</v>
      </c>
      <c r="D11" s="27">
        <f>'Cash Flow 10 Yr'!$E$48*0.02</f>
        <v>19665</v>
      </c>
      <c r="E11" s="27">
        <f>'Cash Flow 10 Yr'!$E$48*0.02</f>
        <v>19665</v>
      </c>
      <c r="F11" s="27">
        <f>'Cash Flow 10 Yr'!$E$48*0.02</f>
        <v>19665</v>
      </c>
      <c r="G11" s="27">
        <f>'Cash Flow 10 Yr'!$E$48*0.02</f>
        <v>19665</v>
      </c>
    </row>
    <row r="12" spans="2:7" x14ac:dyDescent="0.3">
      <c r="B12" s="18">
        <v>44392</v>
      </c>
      <c r="D12" s="27">
        <f>'Cash Flow 10 Yr'!$E$48*0.02</f>
        <v>19665</v>
      </c>
      <c r="E12" s="27">
        <f>'Cash Flow 10 Yr'!$E$48*0.02</f>
        <v>19665</v>
      </c>
      <c r="F12" s="27">
        <f>'Cash Flow 10 Yr'!$E$48*0.02</f>
        <v>19665</v>
      </c>
      <c r="G12" s="27">
        <f>'Cash Flow 10 Yr'!$E$48*0.02</f>
        <v>19665</v>
      </c>
    </row>
    <row r="13" spans="2:7" x14ac:dyDescent="0.3">
      <c r="B13" s="19">
        <v>44484</v>
      </c>
      <c r="C13" s="2"/>
      <c r="D13" s="27">
        <f>'Cash Flow 10 Yr'!$E$48*0.02</f>
        <v>19665</v>
      </c>
      <c r="E13" s="27">
        <f>'Cash Flow 10 Yr'!$E$48*0.02</f>
        <v>19665</v>
      </c>
      <c r="F13" s="27">
        <f>'Cash Flow 10 Yr'!$E$48*0.02</f>
        <v>19665</v>
      </c>
      <c r="G13" s="27">
        <f>'Cash Flow 10 Yr'!$E$48*0.02</f>
        <v>19665</v>
      </c>
    </row>
    <row r="14" spans="2:7" x14ac:dyDescent="0.3">
      <c r="B14" s="18">
        <v>44576</v>
      </c>
      <c r="D14" s="53">
        <f>'Cash Flow 10 Yr'!E48*0.02+'Exit Stops'!K38</f>
        <v>1876148.0806986957</v>
      </c>
      <c r="E14" s="27">
        <f>'Cash Flow 10 Yr'!$E$48*0.02</f>
        <v>19665</v>
      </c>
      <c r="F14" s="27">
        <f>'Cash Flow 10 Yr'!$E$48*0.02</f>
        <v>19665</v>
      </c>
      <c r="G14" s="27">
        <f>'Cash Flow 10 Yr'!$E$48*0.02</f>
        <v>19665</v>
      </c>
    </row>
    <row r="15" spans="2:7" x14ac:dyDescent="0.3">
      <c r="B15" s="18">
        <v>44666</v>
      </c>
      <c r="E15" s="27">
        <f>'Cash Flow 10 Yr'!$E$48*0.02</f>
        <v>19665</v>
      </c>
      <c r="F15" s="27">
        <f>'Cash Flow 10 Yr'!$E$48*0.02</f>
        <v>19665</v>
      </c>
      <c r="G15" s="27">
        <f>'Cash Flow 10 Yr'!$E$48*0.02</f>
        <v>19665</v>
      </c>
    </row>
    <row r="16" spans="2:7" x14ac:dyDescent="0.3">
      <c r="B16" s="18">
        <v>44757</v>
      </c>
      <c r="E16" s="27">
        <f>'Cash Flow 10 Yr'!$E$48*0.02</f>
        <v>19665</v>
      </c>
      <c r="F16" s="27">
        <f>'Cash Flow 10 Yr'!$E$48*0.02</f>
        <v>19665</v>
      </c>
      <c r="G16" s="27">
        <f>'Cash Flow 10 Yr'!$E$48*0.02</f>
        <v>19665</v>
      </c>
    </row>
    <row r="17" spans="2:7" x14ac:dyDescent="0.3">
      <c r="B17" s="19">
        <v>44849</v>
      </c>
      <c r="C17" s="2"/>
      <c r="D17" s="2"/>
      <c r="E17" s="27">
        <f>'Cash Flow 10 Yr'!$E$48*0.02</f>
        <v>19665</v>
      </c>
      <c r="F17" s="27">
        <f>'Cash Flow 10 Yr'!$E$48*0.02</f>
        <v>19665</v>
      </c>
      <c r="G17" s="27">
        <f>'Cash Flow 10 Yr'!$E$48*0.02</f>
        <v>19665</v>
      </c>
    </row>
    <row r="18" spans="2:7" x14ac:dyDescent="0.3">
      <c r="B18" s="18">
        <v>44941</v>
      </c>
      <c r="E18" s="53">
        <f>('Cash Flow 10 Yr'!G48*0.02)+'Exit Stops'!L49</f>
        <v>2039080.2319290014</v>
      </c>
      <c r="F18" s="27">
        <f>'Cash Flow 10 Yr'!$E$48*0.02</f>
        <v>19665</v>
      </c>
      <c r="G18" s="27">
        <f>'Cash Flow 10 Yr'!$E$48*0.02</f>
        <v>19665</v>
      </c>
    </row>
    <row r="19" spans="2:7" x14ac:dyDescent="0.3">
      <c r="B19" s="18">
        <v>45031</v>
      </c>
      <c r="F19" s="27">
        <f>'Cash Flow 10 Yr'!$E$48*0.02</f>
        <v>19665</v>
      </c>
      <c r="G19" s="27">
        <f>'Cash Flow 10 Yr'!$E$48*0.02</f>
        <v>19665</v>
      </c>
    </row>
    <row r="20" spans="2:7" x14ac:dyDescent="0.3">
      <c r="B20" s="18">
        <v>45122</v>
      </c>
      <c r="F20" s="27">
        <f>'Cash Flow 10 Yr'!$E$48*0.02</f>
        <v>19665</v>
      </c>
      <c r="G20" s="27">
        <f>'Cash Flow 10 Yr'!$E$48*0.02</f>
        <v>19665</v>
      </c>
    </row>
    <row r="21" spans="2:7" x14ac:dyDescent="0.3">
      <c r="B21" s="18">
        <v>45214</v>
      </c>
      <c r="F21" s="27">
        <f>'Cash Flow 10 Yr'!$E$48*0.02</f>
        <v>19665</v>
      </c>
      <c r="G21" s="27">
        <f>'Cash Flow 10 Yr'!$E$48*0.02</f>
        <v>19665</v>
      </c>
    </row>
    <row r="22" spans="2:7" x14ac:dyDescent="0.3">
      <c r="B22" s="18">
        <v>45306</v>
      </c>
      <c r="F22" s="27">
        <f>'Cash Flow 10 Yr'!$E$48*0.02</f>
        <v>19665</v>
      </c>
      <c r="G22" s="27">
        <f>'Cash Flow 10 Yr'!$E$48*0.02</f>
        <v>19665</v>
      </c>
    </row>
    <row r="23" spans="2:7" x14ac:dyDescent="0.3">
      <c r="B23" s="18">
        <v>45397</v>
      </c>
      <c r="F23" s="27">
        <f>'Cash Flow 10 Yr'!$E$48*0.02</f>
        <v>19665</v>
      </c>
      <c r="G23" s="27">
        <f>'Cash Flow 10 Yr'!$E$48*0.02</f>
        <v>19665</v>
      </c>
    </row>
    <row r="24" spans="2:7" x14ac:dyDescent="0.3">
      <c r="B24" s="18">
        <v>45488</v>
      </c>
      <c r="F24" s="27">
        <f>'Cash Flow 10 Yr'!$E$48*0.02</f>
        <v>19665</v>
      </c>
      <c r="G24" s="27">
        <f>'Cash Flow 10 Yr'!$E$48*0.02</f>
        <v>19665</v>
      </c>
    </row>
    <row r="25" spans="2:7" x14ac:dyDescent="0.3">
      <c r="B25" s="19">
        <v>45580</v>
      </c>
      <c r="C25" s="2"/>
      <c r="D25" s="2"/>
      <c r="E25" s="2"/>
      <c r="F25" s="27">
        <f>'Cash Flow 10 Yr'!$E$48*0.02</f>
        <v>19665</v>
      </c>
      <c r="G25" s="27">
        <f>'Cash Flow 10 Yr'!$E$48*0.02</f>
        <v>19665</v>
      </c>
    </row>
    <row r="26" spans="2:7" x14ac:dyDescent="0.3">
      <c r="B26" s="18">
        <v>45672</v>
      </c>
      <c r="F26" s="53">
        <f>('Cash Flow 10 Yr'!I48*0.02)+'Exit Stops'!N60</f>
        <v>2384903.499218225</v>
      </c>
      <c r="G26" s="27">
        <f>'Cash Flow 10 Yr'!$E$48*0.02</f>
        <v>19665</v>
      </c>
    </row>
    <row r="27" spans="2:7" x14ac:dyDescent="0.3">
      <c r="B27" s="18">
        <v>45762</v>
      </c>
      <c r="G27" s="27">
        <f>'Cash Flow 10 Yr'!$E$48*0.02</f>
        <v>19665</v>
      </c>
    </row>
    <row r="28" spans="2:7" x14ac:dyDescent="0.3">
      <c r="B28" s="18">
        <v>45853</v>
      </c>
      <c r="G28" s="27">
        <f>'Cash Flow 10 Yr'!$E$48*0.02</f>
        <v>19665</v>
      </c>
    </row>
    <row r="29" spans="2:7" x14ac:dyDescent="0.3">
      <c r="B29" s="18">
        <v>45945</v>
      </c>
      <c r="G29" s="27">
        <f>'Cash Flow 10 Yr'!$E$48*0.02</f>
        <v>19665</v>
      </c>
    </row>
    <row r="30" spans="2:7" x14ac:dyDescent="0.3">
      <c r="B30" s="18">
        <v>46037</v>
      </c>
      <c r="G30" s="27">
        <f>'Cash Flow 10 Yr'!$E$48*0.02</f>
        <v>19665</v>
      </c>
    </row>
    <row r="31" spans="2:7" x14ac:dyDescent="0.3">
      <c r="B31" s="18">
        <v>46127</v>
      </c>
      <c r="G31" s="27">
        <f>'Cash Flow 10 Yr'!$E$48*0.02</f>
        <v>19665</v>
      </c>
    </row>
    <row r="32" spans="2:7" x14ac:dyDescent="0.3">
      <c r="B32" s="18">
        <v>46218</v>
      </c>
      <c r="G32" s="27">
        <f>'Cash Flow 10 Yr'!$E$48*0.02</f>
        <v>19665</v>
      </c>
    </row>
    <row r="33" spans="2:7" x14ac:dyDescent="0.3">
      <c r="B33" s="19">
        <v>46310</v>
      </c>
      <c r="C33" s="2"/>
      <c r="D33" s="2"/>
      <c r="E33" s="2"/>
      <c r="F33" s="2"/>
      <c r="G33" s="27">
        <f>'Cash Flow 10 Yr'!$E$48*0.02</f>
        <v>19665</v>
      </c>
    </row>
    <row r="34" spans="2:7" x14ac:dyDescent="0.3">
      <c r="B34" s="19">
        <v>46387</v>
      </c>
      <c r="C34" s="2"/>
      <c r="D34" s="2"/>
      <c r="E34" s="2"/>
      <c r="F34" s="57"/>
      <c r="G34" s="62">
        <f>('Cash Flow 10 Yr'!K48*0.02)+'Exit Stops'!P71</f>
        <v>2759030.7452437263</v>
      </c>
    </row>
    <row r="35" spans="2:7" x14ac:dyDescent="0.3">
      <c r="B35" s="77" t="s">
        <v>145</v>
      </c>
      <c r="C35" s="20"/>
      <c r="D35" s="50">
        <f>XIRR(D7:D14,B7:B14)</f>
        <v>0.43737954497337339</v>
      </c>
      <c r="E35" s="50">
        <f>XIRR(E7:E18,B7:B18)</f>
        <v>0.33438531756401069</v>
      </c>
      <c r="F35" s="61">
        <f>XIRR(F7:F26,B7:B26)</f>
        <v>0.25159670710563664</v>
      </c>
      <c r="G35" s="50">
        <f>XIRR(G7:G34,B7:B34)</f>
        <v>0.21526718735694886</v>
      </c>
    </row>
  </sheetData>
  <mergeCells count="1">
    <mergeCell ref="D5:G5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63F08399D92449AAC66C243E97864" ma:contentTypeVersion="13" ma:contentTypeDescription="Create a new document." ma:contentTypeScope="" ma:versionID="55a2b1bf478984b6f48b89e92dfc8a6f">
  <xsd:schema xmlns:xsd="http://www.w3.org/2001/XMLSchema" xmlns:xs="http://www.w3.org/2001/XMLSchema" xmlns:p="http://schemas.microsoft.com/office/2006/metadata/properties" xmlns:ns2="86a7f2e9-7660-403e-9f95-ccb959120075" xmlns:ns3="e746b930-8e6c-484d-9c4c-2ab9c0e33363" targetNamespace="http://schemas.microsoft.com/office/2006/metadata/properties" ma:root="true" ma:fieldsID="6e1a6139bad86c4afde61c9ee38f82de" ns2:_="" ns3:_="">
    <xsd:import namespace="86a7f2e9-7660-403e-9f95-ccb959120075"/>
    <xsd:import namespace="e746b930-8e6c-484d-9c4c-2ab9c0e333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7f2e9-7660-403e-9f95-ccb9591200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6b930-8e6c-484d-9c4c-2ab9c0e333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2073A-D299-4A63-8EE1-5D1DD1636E2E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86a7f2e9-7660-403e-9f95-ccb959120075"/>
    <ds:schemaRef ds:uri="http://purl.org/dc/elements/1.1/"/>
    <ds:schemaRef ds:uri="http://schemas.microsoft.com/office/2006/metadata/properties"/>
    <ds:schemaRef ds:uri="e746b930-8e6c-484d-9c4c-2ab9c0e3336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DDB290-8404-48BE-940F-DA0E70121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7f2e9-7660-403e-9f95-ccb959120075"/>
    <ds:schemaRef ds:uri="e746b930-8e6c-484d-9c4c-2ab9c0e333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8D1B02-8DF0-48D7-A9D8-7091EE2C7A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Executive Summary</vt:lpstr>
      <vt:lpstr>Cash Flow 10 Yr</vt:lpstr>
      <vt:lpstr>Dashboard Control</vt:lpstr>
      <vt:lpstr>Revenue Streams</vt:lpstr>
      <vt:lpstr>Sources &amp; Uses</vt:lpstr>
      <vt:lpstr>Amorization</vt:lpstr>
      <vt:lpstr>Exit Stops</vt:lpstr>
      <vt:lpstr>IRR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Consolati</dc:creator>
  <cp:keywords/>
  <dc:description/>
  <cp:lastModifiedBy>Andrew Consolati</cp:lastModifiedBy>
  <cp:revision/>
  <cp:lastPrinted>2020-11-13T14:13:52Z</cp:lastPrinted>
  <dcterms:created xsi:type="dcterms:W3CDTF">2020-11-03T16:42:39Z</dcterms:created>
  <dcterms:modified xsi:type="dcterms:W3CDTF">2021-12-23T18:39:35Z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0x0101001CB63F08399D92449AAC66C243E97864</vt:lpwstr>
  </property>
</Properties>
</file>