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halingproperties.sharepoint.com/sites/MHCProperties/Shared Documents/Prospects/Other/Under Review &amp; Contract/Miller Building/Purchase/Miller - Pitchbook/"/>
    </mc:Choice>
  </mc:AlternateContent>
  <xr:revisionPtr revIDLastSave="258" documentId="8_{F02D88FA-CA9C-4A0E-8F0C-64EBF24665D8}" xr6:coauthVersionLast="47" xr6:coauthVersionMax="47" xr10:uidLastSave="{2FD7A116-FECF-4D14-912C-964C455EFD33}"/>
  <bookViews>
    <workbookView xWindow="22932" yWindow="-108" windowWidth="23256" windowHeight="12576" activeTab="1" xr2:uid="{8BC858DA-04B8-45C2-9690-1F794038B094}"/>
  </bookViews>
  <sheets>
    <sheet name="Sources &amp; Uses" sheetId="4" r:id="rId1"/>
    <sheet name="Cash Flow 10 Yr" sheetId="1" r:id="rId2"/>
    <sheet name="Dashboard Control" sheetId="2" r:id="rId3"/>
    <sheet name="Rent Roll" sheetId="9" r:id="rId4"/>
    <sheet name="Amorization" sheetId="6" r:id="rId5"/>
    <sheet name="Exit Stops" sheetId="5" r:id="rId6"/>
    <sheet name="IRR Calculator" sheetId="7" state="hidden" r:id="rId7"/>
    <sheet name="Executive Summary" sheetId="8" state="hidden" r:id="rId8"/>
  </sheets>
  <definedNames>
    <definedName name="_xlnm.Print_Area" localSheetId="0">'Sources &amp; Uses'!$A$1:$K$45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" l="1"/>
  <c r="N37" i="1"/>
  <c r="M37" i="1"/>
  <c r="L37" i="1"/>
  <c r="K37" i="1"/>
  <c r="J37" i="1"/>
  <c r="I37" i="1"/>
  <c r="H37" i="1"/>
  <c r="G37" i="1"/>
  <c r="E37" i="1"/>
  <c r="L21" i="5"/>
  <c r="N21" i="5"/>
  <c r="G42" i="1"/>
  <c r="AC16" i="9" l="1"/>
  <c r="AC10" i="9"/>
  <c r="AE30" i="9"/>
  <c r="AD29" i="9"/>
  <c r="J14" i="4" l="1"/>
  <c r="B8" i="1" l="1"/>
  <c r="AC33" i="9"/>
  <c r="AF30" i="9"/>
  <c r="AG30" i="9" s="1"/>
  <c r="AH30" i="9" s="1"/>
  <c r="AI30" i="9" s="1"/>
  <c r="AJ30" i="9" s="1"/>
  <c r="AK30" i="9" s="1"/>
  <c r="AL30" i="9" s="1"/>
  <c r="AE29" i="9"/>
  <c r="AF29" i="9" s="1"/>
  <c r="AG29" i="9" s="1"/>
  <c r="AH29" i="9" s="1"/>
  <c r="AI29" i="9" s="1"/>
  <c r="AJ29" i="9" s="1"/>
  <c r="AK29" i="9" s="1"/>
  <c r="AL29" i="9" s="1"/>
  <c r="V26" i="9" l="1"/>
  <c r="V29" i="9"/>
  <c r="V30" i="9"/>
  <c r="V24" i="9"/>
  <c r="B4" i="4" l="1"/>
  <c r="AD33" i="9"/>
  <c r="W41" i="9"/>
  <c r="D22" i="2" l="1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BA16" i="9"/>
  <c r="BB16" i="9"/>
  <c r="BC16" i="9"/>
  <c r="BD16" i="9"/>
  <c r="BE16" i="9"/>
  <c r="BF16" i="9"/>
  <c r="BG16" i="9"/>
  <c r="BH16" i="9"/>
  <c r="BI16" i="9"/>
  <c r="BJ16" i="9"/>
  <c r="BK16" i="9"/>
  <c r="BL16" i="9"/>
  <c r="BM16" i="9"/>
  <c r="BN16" i="9"/>
  <c r="BO16" i="9"/>
  <c r="BP16" i="9"/>
  <c r="BQ16" i="9"/>
  <c r="BR16" i="9"/>
  <c r="BS16" i="9"/>
  <c r="BT16" i="9"/>
  <c r="BU16" i="9"/>
  <c r="BV16" i="9"/>
  <c r="BW16" i="9"/>
  <c r="BX16" i="9"/>
  <c r="BY16" i="9"/>
  <c r="BZ16" i="9"/>
  <c r="CA16" i="9"/>
  <c r="CB16" i="9"/>
  <c r="CC16" i="9"/>
  <c r="CD16" i="9"/>
  <c r="CE16" i="9"/>
  <c r="CF16" i="9"/>
  <c r="CG16" i="9"/>
  <c r="CH16" i="9"/>
  <c r="CI16" i="9"/>
  <c r="CJ16" i="9"/>
  <c r="CK16" i="9"/>
  <c r="CL16" i="9"/>
  <c r="CM16" i="9"/>
  <c r="CN16" i="9"/>
  <c r="CO16" i="9"/>
  <c r="CP16" i="9"/>
  <c r="CQ16" i="9"/>
  <c r="CR16" i="9"/>
  <c r="CS16" i="9"/>
  <c r="CT16" i="9"/>
  <c r="CU16" i="9"/>
  <c r="CV16" i="9"/>
  <c r="CW16" i="9"/>
  <c r="CX16" i="9"/>
  <c r="CY16" i="9"/>
  <c r="CZ16" i="9"/>
  <c r="DA16" i="9"/>
  <c r="DB16" i="9"/>
  <c r="DC16" i="9"/>
  <c r="DD16" i="9"/>
  <c r="DE16" i="9"/>
  <c r="DF16" i="9"/>
  <c r="DG16" i="9"/>
  <c r="DH16" i="9"/>
  <c r="DI16" i="9"/>
  <c r="DJ16" i="9"/>
  <c r="DK16" i="9"/>
  <c r="DL16" i="9"/>
  <c r="DM16" i="9"/>
  <c r="DN16" i="9"/>
  <c r="DO16" i="9"/>
  <c r="DP16" i="9"/>
  <c r="DQ16" i="9"/>
  <c r="DR16" i="9"/>
  <c r="DS16" i="9"/>
  <c r="DT16" i="9"/>
  <c r="DU16" i="9"/>
  <c r="DV16" i="9"/>
  <c r="DW16" i="9"/>
  <c r="DX16" i="9"/>
  <c r="DY16" i="9"/>
  <c r="DZ16" i="9"/>
  <c r="EA16" i="9"/>
  <c r="EB16" i="9"/>
  <c r="EC16" i="9"/>
  <c r="ED16" i="9"/>
  <c r="EE16" i="9"/>
  <c r="EF16" i="9"/>
  <c r="EG16" i="9"/>
  <c r="EH16" i="9"/>
  <c r="EI16" i="9"/>
  <c r="EJ16" i="9"/>
  <c r="EK16" i="9"/>
  <c r="EL16" i="9"/>
  <c r="EM16" i="9"/>
  <c r="EN16" i="9"/>
  <c r="EO16" i="9"/>
  <c r="EP16" i="9"/>
  <c r="EQ16" i="9"/>
  <c r="ER16" i="9"/>
  <c r="AH26" i="9"/>
  <c r="AI26" i="9"/>
  <c r="AJ26" i="9"/>
  <c r="AK26" i="9"/>
  <c r="AL26" i="9"/>
  <c r="AG26" i="9"/>
  <c r="AI24" i="9"/>
  <c r="AJ24" i="9"/>
  <c r="AK24" i="9"/>
  <c r="AL24" i="9"/>
  <c r="AH24" i="9"/>
  <c r="W33" i="9"/>
  <c r="AD36" i="9" s="1"/>
  <c r="AD38" i="9" s="1"/>
  <c r="E30" i="9"/>
  <c r="E29" i="9"/>
  <c r="E27" i="9"/>
  <c r="E26" i="9"/>
  <c r="E24" i="9"/>
  <c r="AF33" i="9" l="1"/>
  <c r="AC36" i="9"/>
  <c r="AC38" i="9" s="1"/>
  <c r="AE33" i="9"/>
  <c r="K15" i="9"/>
  <c r="W38" i="9"/>
  <c r="AE36" i="9" l="1"/>
  <c r="AE38" i="9" s="1"/>
  <c r="AF36" i="9"/>
  <c r="AF38" i="9" s="1"/>
  <c r="AG33" i="9"/>
  <c r="B30" i="4"/>
  <c r="AG36" i="9" l="1"/>
  <c r="AG38" i="9" s="1"/>
  <c r="AH33" i="9"/>
  <c r="CR11" i="9"/>
  <c r="B6" i="8"/>
  <c r="E17" i="1"/>
  <c r="B32" i="2"/>
  <c r="B9" i="1"/>
  <c r="EG9" i="9"/>
  <c r="EH9" i="9"/>
  <c r="EI9" i="9"/>
  <c r="EJ9" i="9"/>
  <c r="EK9" i="9"/>
  <c r="EL9" i="9"/>
  <c r="EM9" i="9"/>
  <c r="EN9" i="9"/>
  <c r="EO9" i="9"/>
  <c r="EP9" i="9"/>
  <c r="EQ9" i="9"/>
  <c r="ER9" i="9"/>
  <c r="EG10" i="9"/>
  <c r="EH10" i="9"/>
  <c r="EI10" i="9"/>
  <c r="EJ10" i="9"/>
  <c r="EK10" i="9"/>
  <c r="EL10" i="9"/>
  <c r="EM10" i="9"/>
  <c r="EN10" i="9"/>
  <c r="EO10" i="9"/>
  <c r="EP10" i="9"/>
  <c r="EQ10" i="9"/>
  <c r="ER10" i="9"/>
  <c r="EG12" i="9"/>
  <c r="EH12" i="9"/>
  <c r="EI12" i="9"/>
  <c r="EJ12" i="9"/>
  <c r="EK12" i="9"/>
  <c r="EL12" i="9"/>
  <c r="EM12" i="9"/>
  <c r="EN12" i="9"/>
  <c r="EO12" i="9"/>
  <c r="EP12" i="9"/>
  <c r="EQ12" i="9"/>
  <c r="ER12" i="9"/>
  <c r="D26" i="2"/>
  <c r="D25" i="2"/>
  <c r="D24" i="2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BA11" i="9"/>
  <c r="BB11" i="9"/>
  <c r="BC11" i="9"/>
  <c r="BD11" i="9"/>
  <c r="BE11" i="9"/>
  <c r="BF11" i="9"/>
  <c r="BG11" i="9"/>
  <c r="BH11" i="9"/>
  <c r="BI11" i="9"/>
  <c r="BJ11" i="9"/>
  <c r="BK11" i="9"/>
  <c r="BL11" i="9"/>
  <c r="BM11" i="9"/>
  <c r="BN11" i="9"/>
  <c r="BO11" i="9"/>
  <c r="BP11" i="9"/>
  <c r="BQ11" i="9"/>
  <c r="BR11" i="9"/>
  <c r="BS11" i="9"/>
  <c r="BT11" i="9"/>
  <c r="BU11" i="9"/>
  <c r="BV11" i="9"/>
  <c r="BW11" i="9"/>
  <c r="BX11" i="9"/>
  <c r="BY11" i="9"/>
  <c r="BZ11" i="9"/>
  <c r="CA11" i="9"/>
  <c r="CB11" i="9"/>
  <c r="CC11" i="9"/>
  <c r="CD11" i="9"/>
  <c r="CE11" i="9"/>
  <c r="CF11" i="9"/>
  <c r="CG11" i="9"/>
  <c r="CH11" i="9"/>
  <c r="CI11" i="9"/>
  <c r="CJ11" i="9"/>
  <c r="CM11" i="9"/>
  <c r="CQ11" i="9"/>
  <c r="CU11" i="9"/>
  <c r="G17" i="1" l="1"/>
  <c r="H17" i="1" s="1"/>
  <c r="I17" i="1" s="1"/>
  <c r="J17" i="1" s="1"/>
  <c r="K17" i="1" s="1"/>
  <c r="L17" i="1" s="1"/>
  <c r="M17" i="1" s="1"/>
  <c r="N17" i="1" s="1"/>
  <c r="O17" i="1" s="1"/>
  <c r="F17" i="1"/>
  <c r="AH36" i="9"/>
  <c r="AI33" i="9"/>
  <c r="DD11" i="9"/>
  <c r="EH14" i="9"/>
  <c r="EM14" i="9"/>
  <c r="EN14" i="9"/>
  <c r="EO14" i="9"/>
  <c r="EG14" i="9"/>
  <c r="EL14" i="9"/>
  <c r="EK14" i="9"/>
  <c r="ER14" i="9"/>
  <c r="EJ14" i="9"/>
  <c r="EQ14" i="9"/>
  <c r="EI14" i="9"/>
  <c r="EP14" i="9"/>
  <c r="DA11" i="9"/>
  <c r="DH11" i="9"/>
  <c r="CZ11" i="9"/>
  <c r="DB11" i="9"/>
  <c r="CY11" i="9"/>
  <c r="DF11" i="9"/>
  <c r="CX11" i="9"/>
  <c r="DE11" i="9"/>
  <c r="CW11" i="9"/>
  <c r="DG11" i="9"/>
  <c r="CP11" i="9"/>
  <c r="CO11" i="9"/>
  <c r="CV11" i="9"/>
  <c r="CN11" i="9"/>
  <c r="CT11" i="9"/>
  <c r="CK11" i="9"/>
  <c r="CL11" i="9"/>
  <c r="CS11" i="9"/>
  <c r="EH8" i="9"/>
  <c r="EP8" i="9"/>
  <c r="EL8" i="9"/>
  <c r="EI8" i="9"/>
  <c r="EQ8" i="9"/>
  <c r="EJ8" i="9"/>
  <c r="ER8" i="9"/>
  <c r="EK8" i="9"/>
  <c r="EM8" i="9"/>
  <c r="EN8" i="9"/>
  <c r="EO8" i="9"/>
  <c r="EG8" i="9"/>
  <c r="X33" i="9"/>
  <c r="E23" i="1"/>
  <c r="B23" i="1"/>
  <c r="AE8" i="9"/>
  <c r="AF8" i="9"/>
  <c r="AG8" i="9"/>
  <c r="AH8" i="9"/>
  <c r="AI8" i="9"/>
  <c r="AJ8" i="9"/>
  <c r="AK8" i="9"/>
  <c r="AL8" i="9"/>
  <c r="AM8" i="9"/>
  <c r="AN8" i="9"/>
  <c r="AE9" i="9"/>
  <c r="AF9" i="9"/>
  <c r="AG9" i="9"/>
  <c r="AH9" i="9"/>
  <c r="AI9" i="9"/>
  <c r="AJ9" i="9"/>
  <c r="AK9" i="9"/>
  <c r="AL9" i="9"/>
  <c r="AM9" i="9"/>
  <c r="AN9" i="9"/>
  <c r="AE10" i="9"/>
  <c r="AF10" i="9"/>
  <c r="AG10" i="9"/>
  <c r="AH10" i="9"/>
  <c r="AI10" i="9"/>
  <c r="AJ10" i="9"/>
  <c r="AK10" i="9"/>
  <c r="AL10" i="9"/>
  <c r="AM10" i="9"/>
  <c r="AN10" i="9"/>
  <c r="AE12" i="9"/>
  <c r="AF12" i="9"/>
  <c r="AG12" i="9"/>
  <c r="AH12" i="9"/>
  <c r="AI12" i="9"/>
  <c r="AJ12" i="9"/>
  <c r="AK12" i="9"/>
  <c r="AL12" i="9"/>
  <c r="AM12" i="9"/>
  <c r="AN12" i="9"/>
  <c r="AE13" i="9"/>
  <c r="AF13" i="9"/>
  <c r="AG13" i="9"/>
  <c r="AH13" i="9"/>
  <c r="AI13" i="9"/>
  <c r="AJ13" i="9"/>
  <c r="AK13" i="9"/>
  <c r="AL13" i="9"/>
  <c r="AM13" i="9"/>
  <c r="AN13" i="9"/>
  <c r="AE14" i="9"/>
  <c r="AF14" i="9"/>
  <c r="AG14" i="9"/>
  <c r="AH14" i="9"/>
  <c r="AI14" i="9"/>
  <c r="AJ14" i="9"/>
  <c r="AK14" i="9"/>
  <c r="AL14" i="9"/>
  <c r="AM14" i="9"/>
  <c r="AN14" i="9"/>
  <c r="AD9" i="9"/>
  <c r="AD10" i="9"/>
  <c r="AD12" i="9"/>
  <c r="AD13" i="9"/>
  <c r="AD14" i="9"/>
  <c r="AD8" i="9"/>
  <c r="ES15" i="9"/>
  <c r="ES17" i="9" s="1"/>
  <c r="ET15" i="9"/>
  <c r="ET17" i="9" s="1"/>
  <c r="EU15" i="9"/>
  <c r="EU17" i="9" s="1"/>
  <c r="EV15" i="9"/>
  <c r="EV17" i="9" s="1"/>
  <c r="EW15" i="9"/>
  <c r="EW17" i="9" s="1"/>
  <c r="EX15" i="9"/>
  <c r="EX17" i="9" s="1"/>
  <c r="EY15" i="9"/>
  <c r="EY17" i="9" s="1"/>
  <c r="EZ15" i="9"/>
  <c r="EZ17" i="9" s="1"/>
  <c r="FA15" i="9"/>
  <c r="FA17" i="9" s="1"/>
  <c r="FB15" i="9"/>
  <c r="FB17" i="9" s="1"/>
  <c r="FC15" i="9"/>
  <c r="FC17" i="9" s="1"/>
  <c r="FD15" i="9"/>
  <c r="FD17" i="9" s="1"/>
  <c r="DV8" i="9"/>
  <c r="DW8" i="9"/>
  <c r="DX8" i="9"/>
  <c r="DY8" i="9"/>
  <c r="DZ8" i="9"/>
  <c r="EA8" i="9"/>
  <c r="EB8" i="9"/>
  <c r="EC8" i="9"/>
  <c r="ED8" i="9"/>
  <c r="EE8" i="9"/>
  <c r="EF8" i="9"/>
  <c r="DV9" i="9"/>
  <c r="DW9" i="9"/>
  <c r="DX9" i="9"/>
  <c r="DY9" i="9"/>
  <c r="DZ9" i="9"/>
  <c r="EA9" i="9"/>
  <c r="EB9" i="9"/>
  <c r="EC9" i="9"/>
  <c r="ED9" i="9"/>
  <c r="EE9" i="9"/>
  <c r="EF9" i="9"/>
  <c r="DV10" i="9"/>
  <c r="DW10" i="9"/>
  <c r="DX10" i="9"/>
  <c r="DY10" i="9"/>
  <c r="DZ10" i="9"/>
  <c r="EA10" i="9"/>
  <c r="EB10" i="9"/>
  <c r="EC10" i="9"/>
  <c r="ED10" i="9"/>
  <c r="EE10" i="9"/>
  <c r="EF10" i="9"/>
  <c r="DV12" i="9"/>
  <c r="DW12" i="9"/>
  <c r="DX12" i="9"/>
  <c r="DY12" i="9"/>
  <c r="DZ12" i="9"/>
  <c r="EA12" i="9"/>
  <c r="EB12" i="9"/>
  <c r="EC12" i="9"/>
  <c r="ED12" i="9"/>
  <c r="EE12" i="9"/>
  <c r="EF12" i="9"/>
  <c r="DV14" i="9"/>
  <c r="DW14" i="9"/>
  <c r="DX14" i="9"/>
  <c r="DY14" i="9"/>
  <c r="DZ14" i="9"/>
  <c r="EA14" i="9"/>
  <c r="EB14" i="9"/>
  <c r="EC14" i="9"/>
  <c r="ED14" i="9"/>
  <c r="EE14" i="9"/>
  <c r="EF14" i="9"/>
  <c r="DU9" i="9"/>
  <c r="DU10" i="9"/>
  <c r="DU12" i="9"/>
  <c r="DU14" i="9"/>
  <c r="DU8" i="9"/>
  <c r="DI8" i="9"/>
  <c r="DJ8" i="9"/>
  <c r="DK8" i="9"/>
  <c r="DL8" i="9"/>
  <c r="DM8" i="9"/>
  <c r="DN8" i="9"/>
  <c r="DO8" i="9"/>
  <c r="DP8" i="9"/>
  <c r="DQ8" i="9"/>
  <c r="DR8" i="9"/>
  <c r="DS8" i="9"/>
  <c r="DT8" i="9"/>
  <c r="DJ9" i="9"/>
  <c r="DK9" i="9"/>
  <c r="DL9" i="9"/>
  <c r="DM9" i="9"/>
  <c r="DN9" i="9"/>
  <c r="DO9" i="9"/>
  <c r="DP9" i="9"/>
  <c r="DQ9" i="9"/>
  <c r="DR9" i="9"/>
  <c r="DS9" i="9"/>
  <c r="DT9" i="9"/>
  <c r="DJ10" i="9"/>
  <c r="DK10" i="9"/>
  <c r="DL10" i="9"/>
  <c r="DM10" i="9"/>
  <c r="DN10" i="9"/>
  <c r="DO10" i="9"/>
  <c r="DP10" i="9"/>
  <c r="DQ10" i="9"/>
  <c r="DR10" i="9"/>
  <c r="DS10" i="9"/>
  <c r="DT10" i="9"/>
  <c r="DJ12" i="9"/>
  <c r="DK12" i="9"/>
  <c r="DL12" i="9"/>
  <c r="DM12" i="9"/>
  <c r="DN12" i="9"/>
  <c r="DO12" i="9"/>
  <c r="DP12" i="9"/>
  <c r="DQ12" i="9"/>
  <c r="DR12" i="9"/>
  <c r="DS12" i="9"/>
  <c r="DT12" i="9"/>
  <c r="DJ13" i="9"/>
  <c r="DK13" i="9"/>
  <c r="DL13" i="9"/>
  <c r="DM13" i="9"/>
  <c r="DN13" i="9"/>
  <c r="DO13" i="9"/>
  <c r="DP13" i="9"/>
  <c r="DQ13" i="9"/>
  <c r="DR13" i="9"/>
  <c r="DS13" i="9"/>
  <c r="DT13" i="9"/>
  <c r="DJ14" i="9"/>
  <c r="DK14" i="9"/>
  <c r="DL14" i="9"/>
  <c r="DM14" i="9"/>
  <c r="DN14" i="9"/>
  <c r="DO14" i="9"/>
  <c r="DP14" i="9"/>
  <c r="DQ14" i="9"/>
  <c r="DR14" i="9"/>
  <c r="DS14" i="9"/>
  <c r="DT14" i="9"/>
  <c r="DI9" i="9"/>
  <c r="DI10" i="9"/>
  <c r="DI12" i="9"/>
  <c r="DI13" i="9"/>
  <c r="DI14" i="9"/>
  <c r="CX8" i="9"/>
  <c r="CY8" i="9"/>
  <c r="CZ8" i="9"/>
  <c r="DA8" i="9"/>
  <c r="DB8" i="9"/>
  <c r="DC8" i="9"/>
  <c r="DD8" i="9"/>
  <c r="DE8" i="9"/>
  <c r="DF8" i="9"/>
  <c r="DG8" i="9"/>
  <c r="DH8" i="9"/>
  <c r="CX9" i="9"/>
  <c r="CY9" i="9"/>
  <c r="CZ9" i="9"/>
  <c r="DA9" i="9"/>
  <c r="DB9" i="9"/>
  <c r="DC9" i="9"/>
  <c r="DD9" i="9"/>
  <c r="DE9" i="9"/>
  <c r="DF9" i="9"/>
  <c r="DG9" i="9"/>
  <c r="DH9" i="9"/>
  <c r="CX10" i="9"/>
  <c r="CY10" i="9"/>
  <c r="CZ10" i="9"/>
  <c r="DA10" i="9"/>
  <c r="DB10" i="9"/>
  <c r="DC10" i="9"/>
  <c r="DD10" i="9"/>
  <c r="DE10" i="9"/>
  <c r="DF10" i="9"/>
  <c r="DG10" i="9"/>
  <c r="DH10" i="9"/>
  <c r="CX12" i="9"/>
  <c r="CY12" i="9"/>
  <c r="CZ12" i="9"/>
  <c r="DA12" i="9"/>
  <c r="DB12" i="9"/>
  <c r="DC12" i="9"/>
  <c r="DD12" i="9"/>
  <c r="DE12" i="9"/>
  <c r="DF12" i="9"/>
  <c r="DG12" i="9"/>
  <c r="DH12" i="9"/>
  <c r="CX13" i="9"/>
  <c r="CY13" i="9"/>
  <c r="CZ13" i="9"/>
  <c r="DA13" i="9"/>
  <c r="DB13" i="9"/>
  <c r="DC13" i="9"/>
  <c r="DD13" i="9"/>
  <c r="DE13" i="9"/>
  <c r="DF13" i="9"/>
  <c r="DG13" i="9"/>
  <c r="DH13" i="9"/>
  <c r="CX14" i="9"/>
  <c r="CY14" i="9"/>
  <c r="CZ14" i="9"/>
  <c r="DA14" i="9"/>
  <c r="DB14" i="9"/>
  <c r="DC14" i="9"/>
  <c r="DD14" i="9"/>
  <c r="DE14" i="9"/>
  <c r="DF14" i="9"/>
  <c r="DG14" i="9"/>
  <c r="DH14" i="9"/>
  <c r="CW9" i="9"/>
  <c r="CW10" i="9"/>
  <c r="CW12" i="9"/>
  <c r="CW13" i="9"/>
  <c r="CW14" i="9"/>
  <c r="CW8" i="9"/>
  <c r="CL8" i="9"/>
  <c r="CM8" i="9"/>
  <c r="CN8" i="9"/>
  <c r="CO8" i="9"/>
  <c r="CP8" i="9"/>
  <c r="CQ8" i="9"/>
  <c r="CR8" i="9"/>
  <c r="CS8" i="9"/>
  <c r="CT8" i="9"/>
  <c r="CU8" i="9"/>
  <c r="CV8" i="9"/>
  <c r="CL9" i="9"/>
  <c r="CM9" i="9"/>
  <c r="CN9" i="9"/>
  <c r="CO9" i="9"/>
  <c r="CP9" i="9"/>
  <c r="CQ9" i="9"/>
  <c r="CR9" i="9"/>
  <c r="CS9" i="9"/>
  <c r="CT9" i="9"/>
  <c r="CU9" i="9"/>
  <c r="CV9" i="9"/>
  <c r="CL10" i="9"/>
  <c r="CM10" i="9"/>
  <c r="CN10" i="9"/>
  <c r="CO10" i="9"/>
  <c r="CP10" i="9"/>
  <c r="CQ10" i="9"/>
  <c r="CR10" i="9"/>
  <c r="CS10" i="9"/>
  <c r="CT10" i="9"/>
  <c r="CU10" i="9"/>
  <c r="CV10" i="9"/>
  <c r="CL12" i="9"/>
  <c r="CM12" i="9"/>
  <c r="CN12" i="9"/>
  <c r="CO12" i="9"/>
  <c r="CP12" i="9"/>
  <c r="CQ12" i="9"/>
  <c r="CR12" i="9"/>
  <c r="CS12" i="9"/>
  <c r="CT12" i="9"/>
  <c r="CU12" i="9"/>
  <c r="CV12" i="9"/>
  <c r="CL13" i="9"/>
  <c r="CM13" i="9"/>
  <c r="CN13" i="9"/>
  <c r="CO13" i="9"/>
  <c r="CP13" i="9"/>
  <c r="CQ13" i="9"/>
  <c r="CR13" i="9"/>
  <c r="CS13" i="9"/>
  <c r="CT13" i="9"/>
  <c r="CU13" i="9"/>
  <c r="CV13" i="9"/>
  <c r="CL14" i="9"/>
  <c r="CM14" i="9"/>
  <c r="CN14" i="9"/>
  <c r="CO14" i="9"/>
  <c r="CP14" i="9"/>
  <c r="CQ14" i="9"/>
  <c r="CR14" i="9"/>
  <c r="CS14" i="9"/>
  <c r="CT14" i="9"/>
  <c r="CU14" i="9"/>
  <c r="CV14" i="9"/>
  <c r="CK9" i="9"/>
  <c r="CK10" i="9"/>
  <c r="CK12" i="9"/>
  <c r="CK13" i="9"/>
  <c r="CK14" i="9"/>
  <c r="CK8" i="9"/>
  <c r="BZ8" i="9"/>
  <c r="CA8" i="9"/>
  <c r="CB8" i="9"/>
  <c r="CC8" i="9"/>
  <c r="CD8" i="9"/>
  <c r="CE8" i="9"/>
  <c r="CF8" i="9"/>
  <c r="CG8" i="9"/>
  <c r="CH8" i="9"/>
  <c r="CI8" i="9"/>
  <c r="CJ8" i="9"/>
  <c r="BZ9" i="9"/>
  <c r="CA9" i="9"/>
  <c r="CB9" i="9"/>
  <c r="CC9" i="9"/>
  <c r="CD9" i="9"/>
  <c r="CE9" i="9"/>
  <c r="CF9" i="9"/>
  <c r="CG9" i="9"/>
  <c r="CH9" i="9"/>
  <c r="CI9" i="9"/>
  <c r="CJ9" i="9"/>
  <c r="BZ10" i="9"/>
  <c r="CA10" i="9"/>
  <c r="CB10" i="9"/>
  <c r="CC10" i="9"/>
  <c r="CD10" i="9"/>
  <c r="CE10" i="9"/>
  <c r="CF10" i="9"/>
  <c r="CG10" i="9"/>
  <c r="CH10" i="9"/>
  <c r="CI10" i="9"/>
  <c r="CJ10" i="9"/>
  <c r="BZ12" i="9"/>
  <c r="CA12" i="9"/>
  <c r="CB12" i="9"/>
  <c r="CC12" i="9"/>
  <c r="CD12" i="9"/>
  <c r="CE12" i="9"/>
  <c r="CF12" i="9"/>
  <c r="CG12" i="9"/>
  <c r="CH12" i="9"/>
  <c r="CI12" i="9"/>
  <c r="CJ12" i="9"/>
  <c r="BZ13" i="9"/>
  <c r="CA13" i="9"/>
  <c r="CB13" i="9"/>
  <c r="CC13" i="9"/>
  <c r="CD13" i="9"/>
  <c r="CE13" i="9"/>
  <c r="CF13" i="9"/>
  <c r="CG13" i="9"/>
  <c r="CH13" i="9"/>
  <c r="CI13" i="9"/>
  <c r="CJ13" i="9"/>
  <c r="BZ14" i="9"/>
  <c r="CA14" i="9"/>
  <c r="CB14" i="9"/>
  <c r="CC14" i="9"/>
  <c r="CD14" i="9"/>
  <c r="CE14" i="9"/>
  <c r="CF14" i="9"/>
  <c r="CG14" i="9"/>
  <c r="CH14" i="9"/>
  <c r="CI14" i="9"/>
  <c r="CJ14" i="9"/>
  <c r="BY9" i="9"/>
  <c r="BY10" i="9"/>
  <c r="BY12" i="9"/>
  <c r="BY13" i="9"/>
  <c r="BY14" i="9"/>
  <c r="BY8" i="9"/>
  <c r="BN8" i="9"/>
  <c r="BO8" i="9"/>
  <c r="BP8" i="9"/>
  <c r="BQ8" i="9"/>
  <c r="BR8" i="9"/>
  <c r="BS8" i="9"/>
  <c r="BT8" i="9"/>
  <c r="BU8" i="9"/>
  <c r="BV8" i="9"/>
  <c r="BW8" i="9"/>
  <c r="BX8" i="9"/>
  <c r="BN9" i="9"/>
  <c r="BO9" i="9"/>
  <c r="BP9" i="9"/>
  <c r="BQ9" i="9"/>
  <c r="BR9" i="9"/>
  <c r="BS9" i="9"/>
  <c r="BT9" i="9"/>
  <c r="BU9" i="9"/>
  <c r="BV9" i="9"/>
  <c r="BW9" i="9"/>
  <c r="BX9" i="9"/>
  <c r="BN10" i="9"/>
  <c r="BO10" i="9"/>
  <c r="BP10" i="9"/>
  <c r="BQ10" i="9"/>
  <c r="BR10" i="9"/>
  <c r="BS10" i="9"/>
  <c r="BT10" i="9"/>
  <c r="BU10" i="9"/>
  <c r="BV10" i="9"/>
  <c r="BW10" i="9"/>
  <c r="BX10" i="9"/>
  <c r="BN12" i="9"/>
  <c r="BO12" i="9"/>
  <c r="BP12" i="9"/>
  <c r="BQ12" i="9"/>
  <c r="BR12" i="9"/>
  <c r="BS12" i="9"/>
  <c r="BT12" i="9"/>
  <c r="BU12" i="9"/>
  <c r="BV12" i="9"/>
  <c r="BW12" i="9"/>
  <c r="BX12" i="9"/>
  <c r="BN13" i="9"/>
  <c r="BO13" i="9"/>
  <c r="BP13" i="9"/>
  <c r="BQ13" i="9"/>
  <c r="BR13" i="9"/>
  <c r="BS13" i="9"/>
  <c r="BT13" i="9"/>
  <c r="BU13" i="9"/>
  <c r="BV13" i="9"/>
  <c r="BW13" i="9"/>
  <c r="BX13" i="9"/>
  <c r="BN14" i="9"/>
  <c r="BO14" i="9"/>
  <c r="BP14" i="9"/>
  <c r="BQ14" i="9"/>
  <c r="BR14" i="9"/>
  <c r="BS14" i="9"/>
  <c r="BT14" i="9"/>
  <c r="BU14" i="9"/>
  <c r="BV14" i="9"/>
  <c r="BW14" i="9"/>
  <c r="BX14" i="9"/>
  <c r="BM9" i="9"/>
  <c r="BM10" i="9"/>
  <c r="BM12" i="9"/>
  <c r="BM13" i="9"/>
  <c r="BM14" i="9"/>
  <c r="BM8" i="9"/>
  <c r="BB8" i="9"/>
  <c r="BC8" i="9"/>
  <c r="BD8" i="9"/>
  <c r="BE8" i="9"/>
  <c r="BF8" i="9"/>
  <c r="BG8" i="9"/>
  <c r="BH8" i="9"/>
  <c r="BI8" i="9"/>
  <c r="BJ8" i="9"/>
  <c r="BK8" i="9"/>
  <c r="BL8" i="9"/>
  <c r="BB9" i="9"/>
  <c r="BC9" i="9"/>
  <c r="BD9" i="9"/>
  <c r="BE9" i="9"/>
  <c r="BF9" i="9"/>
  <c r="BG9" i="9"/>
  <c r="BH9" i="9"/>
  <c r="BI9" i="9"/>
  <c r="BJ9" i="9"/>
  <c r="BK9" i="9"/>
  <c r="BL9" i="9"/>
  <c r="BB10" i="9"/>
  <c r="BC10" i="9"/>
  <c r="BD10" i="9"/>
  <c r="BE10" i="9"/>
  <c r="BF10" i="9"/>
  <c r="BG10" i="9"/>
  <c r="BH10" i="9"/>
  <c r="BI10" i="9"/>
  <c r="BJ10" i="9"/>
  <c r="BK10" i="9"/>
  <c r="BL10" i="9"/>
  <c r="BB12" i="9"/>
  <c r="BC12" i="9"/>
  <c r="BD12" i="9"/>
  <c r="BE12" i="9"/>
  <c r="BF12" i="9"/>
  <c r="BG12" i="9"/>
  <c r="BH12" i="9"/>
  <c r="BI12" i="9"/>
  <c r="BJ12" i="9"/>
  <c r="BK12" i="9"/>
  <c r="BL12" i="9"/>
  <c r="BB13" i="9"/>
  <c r="BC13" i="9"/>
  <c r="BD13" i="9"/>
  <c r="BE13" i="9"/>
  <c r="BF13" i="9"/>
  <c r="BG13" i="9"/>
  <c r="BH13" i="9"/>
  <c r="BI13" i="9"/>
  <c r="BJ13" i="9"/>
  <c r="BK13" i="9"/>
  <c r="BL13" i="9"/>
  <c r="BB14" i="9"/>
  <c r="BC14" i="9"/>
  <c r="BD14" i="9"/>
  <c r="BE14" i="9"/>
  <c r="BF14" i="9"/>
  <c r="BG14" i="9"/>
  <c r="BH14" i="9"/>
  <c r="BI14" i="9"/>
  <c r="BJ14" i="9"/>
  <c r="BK14" i="9"/>
  <c r="BL14" i="9"/>
  <c r="BA9" i="9"/>
  <c r="BA10" i="9"/>
  <c r="BA12" i="9"/>
  <c r="BA13" i="9"/>
  <c r="BA14" i="9"/>
  <c r="BA8" i="9"/>
  <c r="AP8" i="9"/>
  <c r="AQ8" i="9"/>
  <c r="AR8" i="9"/>
  <c r="AS8" i="9"/>
  <c r="AT8" i="9"/>
  <c r="AU8" i="9"/>
  <c r="AV8" i="9"/>
  <c r="AW8" i="9"/>
  <c r="AX8" i="9"/>
  <c r="AY8" i="9"/>
  <c r="AZ8" i="9"/>
  <c r="AP9" i="9"/>
  <c r="AQ9" i="9"/>
  <c r="AR9" i="9"/>
  <c r="AS9" i="9"/>
  <c r="AT9" i="9"/>
  <c r="AU9" i="9"/>
  <c r="AV9" i="9"/>
  <c r="AW9" i="9"/>
  <c r="AX9" i="9"/>
  <c r="AY9" i="9"/>
  <c r="AZ9" i="9"/>
  <c r="AP10" i="9"/>
  <c r="AQ10" i="9"/>
  <c r="AR10" i="9"/>
  <c r="AS10" i="9"/>
  <c r="AT10" i="9"/>
  <c r="AU10" i="9"/>
  <c r="AV10" i="9"/>
  <c r="AW10" i="9"/>
  <c r="AX10" i="9"/>
  <c r="AY10" i="9"/>
  <c r="AZ10" i="9"/>
  <c r="AP12" i="9"/>
  <c r="AQ12" i="9"/>
  <c r="AR12" i="9"/>
  <c r="AS12" i="9"/>
  <c r="AT12" i="9"/>
  <c r="AU12" i="9"/>
  <c r="AV12" i="9"/>
  <c r="AW12" i="9"/>
  <c r="AX12" i="9"/>
  <c r="AY12" i="9"/>
  <c r="AZ12" i="9"/>
  <c r="AP13" i="9"/>
  <c r="AQ13" i="9"/>
  <c r="AR13" i="9"/>
  <c r="AS13" i="9"/>
  <c r="AT13" i="9"/>
  <c r="AU13" i="9"/>
  <c r="AV13" i="9"/>
  <c r="AW13" i="9"/>
  <c r="AX13" i="9"/>
  <c r="AY13" i="9"/>
  <c r="AZ13" i="9"/>
  <c r="AP14" i="9"/>
  <c r="AQ14" i="9"/>
  <c r="AR14" i="9"/>
  <c r="AS14" i="9"/>
  <c r="AT14" i="9"/>
  <c r="AU14" i="9"/>
  <c r="AV14" i="9"/>
  <c r="AW14" i="9"/>
  <c r="AX14" i="9"/>
  <c r="AY14" i="9"/>
  <c r="AZ14" i="9"/>
  <c r="AO9" i="9"/>
  <c r="AO10" i="9"/>
  <c r="AO12" i="9"/>
  <c r="AO13" i="9"/>
  <c r="AO14" i="9"/>
  <c r="AO8" i="9"/>
  <c r="AC9" i="9"/>
  <c r="AC12" i="9"/>
  <c r="AC13" i="9"/>
  <c r="AC14" i="9"/>
  <c r="AC8" i="9"/>
  <c r="E8" i="6"/>
  <c r="G23" i="1" l="1"/>
  <c r="H23" i="1" s="1"/>
  <c r="I23" i="1" s="1"/>
  <c r="J23" i="1" s="1"/>
  <c r="K23" i="1" s="1"/>
  <c r="L23" i="1" s="1"/>
  <c r="M23" i="1" s="1"/>
  <c r="N23" i="1" s="1"/>
  <c r="O23" i="1" s="1"/>
  <c r="F23" i="1"/>
  <c r="AH37" i="9"/>
  <c r="AH38" i="9"/>
  <c r="D30" i="2"/>
  <c r="AD37" i="9"/>
  <c r="AC37" i="9"/>
  <c r="E8" i="1" s="1"/>
  <c r="AF37" i="9"/>
  <c r="AE37" i="9"/>
  <c r="AG37" i="9"/>
  <c r="AC15" i="9"/>
  <c r="AC17" i="9" s="1"/>
  <c r="AI36" i="9"/>
  <c r="AJ33" i="9"/>
  <c r="DC11" i="9"/>
  <c r="DL11" i="9"/>
  <c r="DL15" i="9" s="1"/>
  <c r="DL17" i="9" s="1"/>
  <c r="DT11" i="9"/>
  <c r="DQ11" i="9"/>
  <c r="DQ15" i="9" s="1"/>
  <c r="DQ17" i="9" s="1"/>
  <c r="DR11" i="9"/>
  <c r="DR15" i="9" s="1"/>
  <c r="DR17" i="9" s="1"/>
  <c r="DS11" i="9"/>
  <c r="DS15" i="9" s="1"/>
  <c r="DS17" i="9" s="1"/>
  <c r="DM11" i="9"/>
  <c r="DM15" i="9" s="1"/>
  <c r="DM17" i="9" s="1"/>
  <c r="DO11" i="9"/>
  <c r="DO15" i="9" s="1"/>
  <c r="DO17" i="9" s="1"/>
  <c r="DN11" i="9"/>
  <c r="DP11" i="9"/>
  <c r="DI11" i="9"/>
  <c r="DJ11" i="9"/>
  <c r="DK11" i="9"/>
  <c r="DK15" i="9" s="1"/>
  <c r="DK17" i="9" s="1"/>
  <c r="W34" i="9"/>
  <c r="W35" i="9"/>
  <c r="D29" i="2"/>
  <c r="D31" i="2" s="1"/>
  <c r="AK15" i="9"/>
  <c r="AK17" i="9" s="1"/>
  <c r="AI15" i="9"/>
  <c r="AI17" i="9" s="1"/>
  <c r="AG15" i="9"/>
  <c r="AG17" i="9" s="1"/>
  <c r="AD15" i="9"/>
  <c r="AD17" i="9" s="1"/>
  <c r="BH15" i="9"/>
  <c r="BH17" i="9" s="1"/>
  <c r="AR15" i="9"/>
  <c r="AR17" i="9" s="1"/>
  <c r="CN15" i="9"/>
  <c r="CN17" i="9" s="1"/>
  <c r="AY15" i="9"/>
  <c r="AY17" i="9" s="1"/>
  <c r="AQ15" i="9"/>
  <c r="AQ17" i="9" s="1"/>
  <c r="DJ15" i="9"/>
  <c r="DJ17" i="9" s="1"/>
  <c r="AZ15" i="9"/>
  <c r="AZ17" i="9" s="1"/>
  <c r="CV15" i="9"/>
  <c r="CV17" i="9" s="1"/>
  <c r="DI15" i="9"/>
  <c r="DI17" i="9" s="1"/>
  <c r="BG15" i="9"/>
  <c r="BG17" i="9" s="1"/>
  <c r="BW15" i="9"/>
  <c r="BW17" i="9" s="1"/>
  <c r="BO15" i="9"/>
  <c r="BO17" i="9" s="1"/>
  <c r="CE15" i="9"/>
  <c r="CE17" i="9" s="1"/>
  <c r="CU15" i="9"/>
  <c r="CU17" i="9" s="1"/>
  <c r="CM15" i="9"/>
  <c r="CM17" i="9" s="1"/>
  <c r="DC15" i="9"/>
  <c r="DC17" i="9" s="1"/>
  <c r="BX15" i="9"/>
  <c r="BX17" i="9" s="1"/>
  <c r="DA15" i="9"/>
  <c r="DA17" i="9" s="1"/>
  <c r="BA15" i="9"/>
  <c r="BA17" i="9" s="1"/>
  <c r="AV15" i="9"/>
  <c r="AV17" i="9" s="1"/>
  <c r="BL15" i="9"/>
  <c r="BL17" i="9" s="1"/>
  <c r="BD15" i="9"/>
  <c r="BD17" i="9" s="1"/>
  <c r="BT15" i="9"/>
  <c r="BT17" i="9" s="1"/>
  <c r="CJ15" i="9"/>
  <c r="CJ17" i="9" s="1"/>
  <c r="CB15" i="9"/>
  <c r="CB17" i="9" s="1"/>
  <c r="CR15" i="9"/>
  <c r="CR17" i="9" s="1"/>
  <c r="DH15" i="9"/>
  <c r="DH17" i="9" s="1"/>
  <c r="CZ15" i="9"/>
  <c r="CZ17" i="9" s="1"/>
  <c r="CF15" i="9"/>
  <c r="CF17" i="9" s="1"/>
  <c r="BU15" i="9"/>
  <c r="BU17" i="9" s="1"/>
  <c r="CS15" i="9"/>
  <c r="CS17" i="9" s="1"/>
  <c r="AU15" i="9"/>
  <c r="AU17" i="9" s="1"/>
  <c r="BK15" i="9"/>
  <c r="BK17" i="9" s="1"/>
  <c r="BC15" i="9"/>
  <c r="BC17" i="9" s="1"/>
  <c r="BS15" i="9"/>
  <c r="BS17" i="9" s="1"/>
  <c r="CI15" i="9"/>
  <c r="CI17" i="9" s="1"/>
  <c r="CA15" i="9"/>
  <c r="CA17" i="9" s="1"/>
  <c r="CQ15" i="9"/>
  <c r="CQ17" i="9" s="1"/>
  <c r="DG15" i="9"/>
  <c r="DG17" i="9" s="1"/>
  <c r="CY15" i="9"/>
  <c r="CY17" i="9" s="1"/>
  <c r="DN15" i="9"/>
  <c r="DN17" i="9" s="1"/>
  <c r="BP15" i="9"/>
  <c r="BP17" i="9" s="1"/>
  <c r="AW15" i="9"/>
  <c r="AW17" i="9" s="1"/>
  <c r="BY15" i="9"/>
  <c r="BY17" i="9" s="1"/>
  <c r="CC15" i="9"/>
  <c r="CC17" i="9" s="1"/>
  <c r="CW15" i="9"/>
  <c r="CW17" i="9" s="1"/>
  <c r="DP15" i="9"/>
  <c r="DP17" i="9" s="1"/>
  <c r="AT15" i="9"/>
  <c r="AT17" i="9" s="1"/>
  <c r="BJ15" i="9"/>
  <c r="BJ17" i="9" s="1"/>
  <c r="BB15" i="9"/>
  <c r="BB17" i="9" s="1"/>
  <c r="BR15" i="9"/>
  <c r="BR17" i="9" s="1"/>
  <c r="CH15" i="9"/>
  <c r="CH17" i="9" s="1"/>
  <c r="BZ15" i="9"/>
  <c r="BZ17" i="9" s="1"/>
  <c r="CP15" i="9"/>
  <c r="CP17" i="9" s="1"/>
  <c r="DF15" i="9"/>
  <c r="DF17" i="9" s="1"/>
  <c r="CX15" i="9"/>
  <c r="CX17" i="9" s="1"/>
  <c r="DD15" i="9"/>
  <c r="DD17" i="9" s="1"/>
  <c r="BE15" i="9"/>
  <c r="BE17" i="9" s="1"/>
  <c r="AO15" i="9"/>
  <c r="AO17" i="9" s="1"/>
  <c r="AX15" i="9"/>
  <c r="AX17" i="9" s="1"/>
  <c r="AP15" i="9"/>
  <c r="AP17" i="9" s="1"/>
  <c r="AS15" i="9"/>
  <c r="AS17" i="9" s="1"/>
  <c r="BF15" i="9"/>
  <c r="BF17" i="9" s="1"/>
  <c r="BI15" i="9"/>
  <c r="BI17" i="9" s="1"/>
  <c r="BM15" i="9"/>
  <c r="BM17" i="9" s="1"/>
  <c r="BV15" i="9"/>
  <c r="BV17" i="9" s="1"/>
  <c r="BN15" i="9"/>
  <c r="BN17" i="9" s="1"/>
  <c r="BQ15" i="9"/>
  <c r="BQ17" i="9" s="1"/>
  <c r="CD15" i="9"/>
  <c r="CD17" i="9" s="1"/>
  <c r="CG15" i="9"/>
  <c r="CG17" i="9" s="1"/>
  <c r="CK15" i="9"/>
  <c r="CK17" i="9" s="1"/>
  <c r="CT15" i="9"/>
  <c r="CT17" i="9" s="1"/>
  <c r="CL15" i="9"/>
  <c r="CL17" i="9" s="1"/>
  <c r="CO15" i="9"/>
  <c r="CO17" i="9" s="1"/>
  <c r="DB15" i="9"/>
  <c r="DB17" i="9" s="1"/>
  <c r="DE15" i="9"/>
  <c r="DE17" i="9" s="1"/>
  <c r="DT15" i="9"/>
  <c r="DT17" i="9" s="1"/>
  <c r="AL15" i="9"/>
  <c r="AL17" i="9" s="1"/>
  <c r="AN15" i="9"/>
  <c r="AN17" i="9" s="1"/>
  <c r="AF15" i="9"/>
  <c r="AF17" i="9" s="1"/>
  <c r="AH15" i="9"/>
  <c r="AH17" i="9" s="1"/>
  <c r="AJ15" i="9"/>
  <c r="AJ17" i="9" s="1"/>
  <c r="AM15" i="9"/>
  <c r="AM17" i="9" s="1"/>
  <c r="AE15" i="9"/>
  <c r="AE17" i="9" s="1"/>
  <c r="AB2" i="9"/>
  <c r="AC2" i="9" s="1"/>
  <c r="B3" i="9"/>
  <c r="FD4" i="9"/>
  <c r="FC4" i="9"/>
  <c r="FB4" i="9"/>
  <c r="FA4" i="9"/>
  <c r="EZ4" i="9"/>
  <c r="EY4" i="9"/>
  <c r="EX4" i="9"/>
  <c r="EW4" i="9"/>
  <c r="EV4" i="9"/>
  <c r="EU4" i="9"/>
  <c r="ET4" i="9"/>
  <c r="ES4" i="9"/>
  <c r="ER4" i="9"/>
  <c r="EQ4" i="9"/>
  <c r="EP4" i="9"/>
  <c r="EO4" i="9"/>
  <c r="EN4" i="9"/>
  <c r="EM4" i="9"/>
  <c r="EL4" i="9"/>
  <c r="EK4" i="9"/>
  <c r="EJ4" i="9"/>
  <c r="EI4" i="9"/>
  <c r="EH4" i="9"/>
  <c r="EG4" i="9"/>
  <c r="EF4" i="9"/>
  <c r="EE4" i="9"/>
  <c r="ED4" i="9"/>
  <c r="EC4" i="9"/>
  <c r="EB4" i="9"/>
  <c r="EA4" i="9"/>
  <c r="DZ4" i="9"/>
  <c r="DY4" i="9"/>
  <c r="DX4" i="9"/>
  <c r="DW4" i="9"/>
  <c r="DV4" i="9"/>
  <c r="DU4" i="9"/>
  <c r="DT4" i="9"/>
  <c r="DS4" i="9"/>
  <c r="DR4" i="9"/>
  <c r="DQ4" i="9"/>
  <c r="DP4" i="9"/>
  <c r="DO4" i="9"/>
  <c r="DN4" i="9"/>
  <c r="DM4" i="9"/>
  <c r="DL4" i="9"/>
  <c r="DK4" i="9"/>
  <c r="DJ4" i="9"/>
  <c r="DI4" i="9"/>
  <c r="DH4" i="9"/>
  <c r="DG4" i="9"/>
  <c r="DF4" i="9"/>
  <c r="DE4" i="9"/>
  <c r="DD4" i="9"/>
  <c r="DC4" i="9"/>
  <c r="DB4" i="9"/>
  <c r="DA4" i="9"/>
  <c r="CZ4" i="9"/>
  <c r="CY4" i="9"/>
  <c r="CX4" i="9"/>
  <c r="CW4" i="9"/>
  <c r="CV4" i="9"/>
  <c r="CU4" i="9"/>
  <c r="CT4" i="9"/>
  <c r="CS4" i="9"/>
  <c r="CR4" i="9"/>
  <c r="CQ4" i="9"/>
  <c r="CP4" i="9"/>
  <c r="CO4" i="9"/>
  <c r="CN4" i="9"/>
  <c r="CM4" i="9"/>
  <c r="CL4" i="9"/>
  <c r="CK4" i="9"/>
  <c r="CJ4" i="9"/>
  <c r="CI4" i="9"/>
  <c r="CH4" i="9"/>
  <c r="CG4" i="9"/>
  <c r="CF4" i="9"/>
  <c r="CE4" i="9"/>
  <c r="CD4" i="9"/>
  <c r="CC4" i="9"/>
  <c r="CB4" i="9"/>
  <c r="CA4" i="9"/>
  <c r="BZ4" i="9"/>
  <c r="BY4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G39" i="9" l="1"/>
  <c r="J8" i="1"/>
  <c r="AE39" i="9"/>
  <c r="H8" i="1"/>
  <c r="AF39" i="9"/>
  <c r="I8" i="1"/>
  <c r="AD39" i="9"/>
  <c r="G8" i="1"/>
  <c r="AI37" i="9"/>
  <c r="L8" i="1" s="1"/>
  <c r="AI38" i="9"/>
  <c r="AH39" i="9"/>
  <c r="K8" i="1"/>
  <c r="AC39" i="9"/>
  <c r="AJ36" i="9"/>
  <c r="AL33" i="9"/>
  <c r="AK33" i="9"/>
  <c r="EL13" i="9"/>
  <c r="EO13" i="9"/>
  <c r="EP13" i="9"/>
  <c r="EQ13" i="9"/>
  <c r="EM13" i="9"/>
  <c r="EI13" i="9"/>
  <c r="ER13" i="9"/>
  <c r="EN13" i="9"/>
  <c r="EG13" i="9"/>
  <c r="EH13" i="9"/>
  <c r="EJ13" i="9"/>
  <c r="EK13" i="9"/>
  <c r="DX13" i="9"/>
  <c r="EF13" i="9"/>
  <c r="ED13" i="9"/>
  <c r="DY13" i="9"/>
  <c r="DZ13" i="9"/>
  <c r="EA13" i="9"/>
  <c r="DV13" i="9"/>
  <c r="EB13" i="9"/>
  <c r="EC13" i="9"/>
  <c r="DW13" i="9"/>
  <c r="EE13" i="9"/>
  <c r="DU13" i="9"/>
  <c r="D32" i="2"/>
  <c r="EH11" i="9"/>
  <c r="EP11" i="9"/>
  <c r="EB11" i="9"/>
  <c r="EG11" i="9"/>
  <c r="EI11" i="9"/>
  <c r="EI15" i="9" s="1"/>
  <c r="EI17" i="9" s="1"/>
  <c r="EQ11" i="9"/>
  <c r="DU11" i="9"/>
  <c r="DU15" i="9" s="1"/>
  <c r="DU17" i="9" s="1"/>
  <c r="EC11" i="9"/>
  <c r="EC15" i="9" s="1"/>
  <c r="EC17" i="9" s="1"/>
  <c r="EE11" i="9"/>
  <c r="EJ11" i="9"/>
  <c r="ER11" i="9"/>
  <c r="DV11" i="9"/>
  <c r="ED11" i="9"/>
  <c r="EK11" i="9"/>
  <c r="DW11" i="9"/>
  <c r="DW15" i="9" s="1"/>
  <c r="DW17" i="9" s="1"/>
  <c r="DZ11" i="9"/>
  <c r="DZ15" i="9" s="1"/>
  <c r="DZ17" i="9" s="1"/>
  <c r="EL11" i="9"/>
  <c r="EL15" i="9" s="1"/>
  <c r="EL17" i="9" s="1"/>
  <c r="DX11" i="9"/>
  <c r="EF11" i="9"/>
  <c r="EF15" i="9" s="1"/>
  <c r="EF17" i="9" s="1"/>
  <c r="EM11" i="9"/>
  <c r="DY11" i="9"/>
  <c r="DY15" i="9" s="1"/>
  <c r="DY17" i="9" s="1"/>
  <c r="EN11" i="9"/>
  <c r="EN15" i="9" s="1"/>
  <c r="EN17" i="9" s="1"/>
  <c r="EO11" i="9"/>
  <c r="EO15" i="9" s="1"/>
  <c r="EO17" i="9" s="1"/>
  <c r="EA11" i="9"/>
  <c r="EA15" i="9" s="1"/>
  <c r="EA17" i="9" s="1"/>
  <c r="AD2" i="9"/>
  <c r="ED15" i="9" l="1"/>
  <c r="ED17" i="9" s="1"/>
  <c r="AI39" i="9"/>
  <c r="AJ37" i="9"/>
  <c r="AJ38" i="9"/>
  <c r="M9" i="1" s="1"/>
  <c r="ER15" i="9"/>
  <c r="ER17" i="9" s="1"/>
  <c r="EE15" i="9"/>
  <c r="EE17" i="9" s="1"/>
  <c r="EM15" i="9"/>
  <c r="EM17" i="9" s="1"/>
  <c r="DV15" i="9"/>
  <c r="DV17" i="9" s="1"/>
  <c r="EG15" i="9"/>
  <c r="EG17" i="9" s="1"/>
  <c r="DX15" i="9"/>
  <c r="DX17" i="9" s="1"/>
  <c r="EH15" i="9"/>
  <c r="EH17" i="9" s="1"/>
  <c r="EK15" i="9"/>
  <c r="EK17" i="9" s="1"/>
  <c r="EQ15" i="9"/>
  <c r="EQ17" i="9" s="1"/>
  <c r="EB15" i="9"/>
  <c r="EB17" i="9" s="1"/>
  <c r="EJ15" i="9"/>
  <c r="EJ17" i="9" s="1"/>
  <c r="AK36" i="9"/>
  <c r="AL36" i="9"/>
  <c r="EP15" i="9"/>
  <c r="EP17" i="9" s="1"/>
  <c r="G9" i="1"/>
  <c r="G10" i="1" s="1"/>
  <c r="J9" i="1"/>
  <c r="J10" i="1" s="1"/>
  <c r="E9" i="1"/>
  <c r="E10" i="1" s="1"/>
  <c r="E12" i="1" s="1"/>
  <c r="E25" i="1" s="1"/>
  <c r="F25" i="1" s="1"/>
  <c r="D23" i="2"/>
  <c r="I9" i="1"/>
  <c r="I10" i="1" s="1"/>
  <c r="H9" i="1"/>
  <c r="H10" i="1" s="1"/>
  <c r="K9" i="1"/>
  <c r="K10" i="1" s="1"/>
  <c r="L9" i="1"/>
  <c r="L10" i="1" s="1"/>
  <c r="AE2" i="9"/>
  <c r="AL37" i="9" l="1"/>
  <c r="AL38" i="9"/>
  <c r="AK37" i="9"/>
  <c r="N8" i="1" s="1"/>
  <c r="AK38" i="9"/>
  <c r="M8" i="1"/>
  <c r="M10" i="1" s="1"/>
  <c r="AJ39" i="9"/>
  <c r="O9" i="1"/>
  <c r="N9" i="1"/>
  <c r="AF2" i="9"/>
  <c r="N10" i="1" l="1"/>
  <c r="N12" i="1" s="1"/>
  <c r="AK39" i="9"/>
  <c r="O8" i="1"/>
  <c r="O10" i="1" s="1"/>
  <c r="O12" i="1" s="1"/>
  <c r="AL39" i="9"/>
  <c r="M12" i="1"/>
  <c r="J12" i="1"/>
  <c r="H12" i="1"/>
  <c r="G12" i="1"/>
  <c r="L12" i="1"/>
  <c r="D27" i="2"/>
  <c r="I12" i="1"/>
  <c r="K12" i="1"/>
  <c r="AG2" i="9"/>
  <c r="AH2" i="9" l="1"/>
  <c r="AI2" i="9" l="1"/>
  <c r="AJ2" i="9" l="1"/>
  <c r="AK2" i="9" l="1"/>
  <c r="AL2" i="9" l="1"/>
  <c r="AM2" i="9" l="1"/>
  <c r="AN2" i="9" l="1"/>
  <c r="AO2" i="9" l="1"/>
  <c r="AP2" i="9" l="1"/>
  <c r="AQ2" i="9" l="1"/>
  <c r="AR2" i="9" l="1"/>
  <c r="AS2" i="9" l="1"/>
  <c r="AT2" i="9" l="1"/>
  <c r="AU2" i="9" l="1"/>
  <c r="AV2" i="9" l="1"/>
  <c r="AW2" i="9" l="1"/>
  <c r="AX2" i="9" l="1"/>
  <c r="AY2" i="9" l="1"/>
  <c r="AZ2" i="9" l="1"/>
  <c r="BA2" i="9" l="1"/>
  <c r="BB2" i="9" l="1"/>
  <c r="BC2" i="9" l="1"/>
  <c r="BD2" i="9" l="1"/>
  <c r="BE2" i="9" l="1"/>
  <c r="BF2" i="9" l="1"/>
  <c r="BG2" i="9" l="1"/>
  <c r="BH2" i="9" l="1"/>
  <c r="BI2" i="9" l="1"/>
  <c r="BJ2" i="9" l="1"/>
  <c r="BK2" i="9" l="1"/>
  <c r="BL2" i="9" l="1"/>
  <c r="BM2" i="9" l="1"/>
  <c r="BN2" i="9" l="1"/>
  <c r="BO2" i="9" l="1"/>
  <c r="BP2" i="9" l="1"/>
  <c r="BQ2" i="9" l="1"/>
  <c r="BR2" i="9" l="1"/>
  <c r="BS2" i="9" l="1"/>
  <c r="BT2" i="9" l="1"/>
  <c r="BU2" i="9" l="1"/>
  <c r="BV2" i="9" l="1"/>
  <c r="BW2" i="9" l="1"/>
  <c r="BX2" i="9" l="1"/>
  <c r="BY2" i="9" l="1"/>
  <c r="BZ2" i="9" l="1"/>
  <c r="CA2" i="9" l="1"/>
  <c r="CB2" i="9" l="1"/>
  <c r="CC2" i="9" l="1"/>
  <c r="CD2" i="9" l="1"/>
  <c r="CE2" i="9" l="1"/>
  <c r="CF2" i="9" l="1"/>
  <c r="CG2" i="9" l="1"/>
  <c r="CH2" i="9" l="1"/>
  <c r="CI2" i="9" l="1"/>
  <c r="CJ2" i="9" l="1"/>
  <c r="CK2" i="9" l="1"/>
  <c r="CL2" i="9" l="1"/>
  <c r="CM2" i="9" l="1"/>
  <c r="CN2" i="9" l="1"/>
  <c r="CO2" i="9" l="1"/>
  <c r="CP2" i="9" l="1"/>
  <c r="CQ2" i="9" l="1"/>
  <c r="CR2" i="9" l="1"/>
  <c r="CS2" i="9" l="1"/>
  <c r="CT2" i="9" l="1"/>
  <c r="CU2" i="9" l="1"/>
  <c r="CV2" i="9" l="1"/>
  <c r="CW2" i="9" l="1"/>
  <c r="CX2" i="9" l="1"/>
  <c r="CY2" i="9" l="1"/>
  <c r="CZ2" i="9" l="1"/>
  <c r="DA2" i="9" l="1"/>
  <c r="DB2" i="9" l="1"/>
  <c r="DC2" i="9" l="1"/>
  <c r="DD2" i="9" l="1"/>
  <c r="DE2" i="9" l="1"/>
  <c r="DF2" i="9" l="1"/>
  <c r="DG2" i="9" l="1"/>
  <c r="DH2" i="9" l="1"/>
  <c r="DI2" i="9" l="1"/>
  <c r="DJ2" i="9" l="1"/>
  <c r="DK2" i="9" l="1"/>
  <c r="DL2" i="9" l="1"/>
  <c r="DM2" i="9" l="1"/>
  <c r="DN2" i="9" l="1"/>
  <c r="DO2" i="9" l="1"/>
  <c r="DP2" i="9" l="1"/>
  <c r="DQ2" i="9" l="1"/>
  <c r="DR2" i="9" l="1"/>
  <c r="DS2" i="9" l="1"/>
  <c r="DT2" i="9" l="1"/>
  <c r="DU2" i="9" l="1"/>
  <c r="DV2" i="9" l="1"/>
  <c r="DW2" i="9" l="1"/>
  <c r="DX2" i="9" l="1"/>
  <c r="DY2" i="9" l="1"/>
  <c r="DZ2" i="9" l="1"/>
  <c r="EA2" i="9" l="1"/>
  <c r="EB2" i="9" l="1"/>
  <c r="EC2" i="9" l="1"/>
  <c r="ED2" i="9" l="1"/>
  <c r="EE2" i="9" l="1"/>
  <c r="EF2" i="9" l="1"/>
  <c r="EG2" i="9" l="1"/>
  <c r="EH2" i="9" l="1"/>
  <c r="EI2" i="9" l="1"/>
  <c r="EJ2" i="9" l="1"/>
  <c r="EK2" i="9" l="1"/>
  <c r="EL2" i="9" l="1"/>
  <c r="EM2" i="9" l="1"/>
  <c r="EN2" i="9" l="1"/>
  <c r="EO2" i="9" l="1"/>
  <c r="EP2" i="9" l="1"/>
  <c r="EQ2" i="9" l="1"/>
  <c r="ER2" i="9" l="1"/>
  <c r="ES2" i="9" l="1"/>
  <c r="ET2" i="9" l="1"/>
  <c r="EU2" i="9" l="1"/>
  <c r="EV2" i="9" l="1"/>
  <c r="EW2" i="9" l="1"/>
  <c r="EX2" i="9" l="1"/>
  <c r="EY2" i="9" l="1"/>
  <c r="EZ2" i="9" l="1"/>
  <c r="FA2" i="9" l="1"/>
  <c r="FB2" i="9" l="1"/>
  <c r="FC2" i="9" l="1"/>
  <c r="FD2" i="9" l="1"/>
  <c r="N6" i="6" l="1"/>
  <c r="H9" i="8" s="1"/>
  <c r="G10" i="4"/>
  <c r="G4" i="6" l="1"/>
  <c r="B27" i="1"/>
  <c r="H35" i="4" l="1"/>
  <c r="I35" i="4"/>
  <c r="B32" i="4" l="1"/>
  <c r="G32" i="4" l="1"/>
  <c r="J32" i="4" s="1"/>
  <c r="G24" i="4"/>
  <c r="J24" i="4" s="1"/>
  <c r="G26" i="4"/>
  <c r="J26" i="4" s="1"/>
  <c r="G27" i="4"/>
  <c r="J27" i="4" s="1"/>
  <c r="G25" i="4"/>
  <c r="J25" i="4" s="1"/>
  <c r="G28" i="4"/>
  <c r="J28" i="4" s="1"/>
  <c r="G29" i="4"/>
  <c r="J29" i="4" s="1"/>
  <c r="G30" i="4"/>
  <c r="J30" i="4" s="1"/>
  <c r="G31" i="4"/>
  <c r="J31" i="4" s="1"/>
  <c r="B34" i="4"/>
  <c r="B23" i="4"/>
  <c r="B24" i="4"/>
  <c r="B26" i="4"/>
  <c r="B27" i="4"/>
  <c r="B25" i="4"/>
  <c r="B28" i="4"/>
  <c r="B29" i="4"/>
  <c r="B33" i="4"/>
  <c r="B31" i="4"/>
  <c r="O8" i="5" l="1"/>
  <c r="M8" i="5"/>
  <c r="J8" i="5" l="1"/>
  <c r="K8" i="5"/>
  <c r="E13" i="6" l="1"/>
  <c r="H7" i="6" s="1"/>
  <c r="E12" i="6"/>
  <c r="H6" i="6" s="1"/>
  <c r="E9" i="6"/>
  <c r="E11" i="6" s="1"/>
  <c r="E24" i="1"/>
  <c r="F24" i="1" s="1"/>
  <c r="E28" i="1"/>
  <c r="F28" i="1" s="1"/>
  <c r="E16" i="1"/>
  <c r="F16" i="1" s="1"/>
  <c r="E18" i="1"/>
  <c r="F18" i="1" s="1"/>
  <c r="E19" i="1"/>
  <c r="F19" i="1" s="1"/>
  <c r="E20" i="1"/>
  <c r="F20" i="1" s="1"/>
  <c r="E21" i="1"/>
  <c r="F21" i="1" s="1"/>
  <c r="E22" i="1"/>
  <c r="F22" i="1" s="1"/>
  <c r="E15" i="1"/>
  <c r="F15" i="1" s="1"/>
  <c r="J10" i="4"/>
  <c r="J11" i="4"/>
  <c r="J13" i="4"/>
  <c r="J15" i="4"/>
  <c r="J16" i="4"/>
  <c r="H19" i="4"/>
  <c r="H20" i="4" s="1"/>
  <c r="I19" i="4"/>
  <c r="I20" i="4" s="1"/>
  <c r="B3" i="7"/>
  <c r="B3" i="6"/>
  <c r="B3" i="5"/>
  <c r="B3" i="4"/>
  <c r="B28" i="1"/>
  <c r="B26" i="1"/>
  <c r="B16" i="1"/>
  <c r="B17" i="1"/>
  <c r="B18" i="1"/>
  <c r="B19" i="1"/>
  <c r="B20" i="1"/>
  <c r="B21" i="1"/>
  <c r="B22" i="1"/>
  <c r="B24" i="1"/>
  <c r="B25" i="1"/>
  <c r="B15" i="1"/>
  <c r="D6" i="4" l="1"/>
  <c r="G16" i="1"/>
  <c r="H16" i="1" s="1"/>
  <c r="I16" i="1" s="1"/>
  <c r="J16" i="1" s="1"/>
  <c r="K16" i="1" s="1"/>
  <c r="L16" i="1" s="1"/>
  <c r="M16" i="1" s="1"/>
  <c r="N16" i="1" s="1"/>
  <c r="O16" i="1" s="1"/>
  <c r="G18" i="1"/>
  <c r="H18" i="1" s="1"/>
  <c r="I18" i="1" s="1"/>
  <c r="J18" i="1" s="1"/>
  <c r="K18" i="1" s="1"/>
  <c r="L18" i="1" s="1"/>
  <c r="M18" i="1" s="1"/>
  <c r="N18" i="1" s="1"/>
  <c r="O18" i="1" s="1"/>
  <c r="G15" i="1"/>
  <c r="H15" i="1" s="1"/>
  <c r="I15" i="1" s="1"/>
  <c r="J15" i="1" s="1"/>
  <c r="G22" i="1"/>
  <c r="H22" i="1" s="1"/>
  <c r="I22" i="1" s="1"/>
  <c r="J22" i="1" s="1"/>
  <c r="K22" i="1" s="1"/>
  <c r="L22" i="1" s="1"/>
  <c r="M22" i="1" s="1"/>
  <c r="N22" i="1" s="1"/>
  <c r="O22" i="1" s="1"/>
  <c r="G28" i="1"/>
  <c r="H28" i="1" s="1"/>
  <c r="I28" i="1" s="1"/>
  <c r="J28" i="1" s="1"/>
  <c r="K28" i="1" s="1"/>
  <c r="L28" i="1" s="1"/>
  <c r="M28" i="1" s="1"/>
  <c r="N28" i="1" s="1"/>
  <c r="O28" i="1" s="1"/>
  <c r="G21" i="1"/>
  <c r="H21" i="1" s="1"/>
  <c r="I21" i="1" s="1"/>
  <c r="J21" i="1" s="1"/>
  <c r="K21" i="1" s="1"/>
  <c r="L21" i="1" s="1"/>
  <c r="M21" i="1" s="1"/>
  <c r="N21" i="1" s="1"/>
  <c r="O21" i="1" s="1"/>
  <c r="G24" i="1"/>
  <c r="H24" i="1" s="1"/>
  <c r="I24" i="1" s="1"/>
  <c r="J24" i="1" s="1"/>
  <c r="K24" i="1" s="1"/>
  <c r="L24" i="1" s="1"/>
  <c r="M24" i="1" s="1"/>
  <c r="N24" i="1" s="1"/>
  <c r="O24" i="1" s="1"/>
  <c r="G20" i="1"/>
  <c r="H20" i="1" s="1"/>
  <c r="I20" i="1" s="1"/>
  <c r="J20" i="1" s="1"/>
  <c r="K20" i="1" s="1"/>
  <c r="L20" i="1" s="1"/>
  <c r="M20" i="1" s="1"/>
  <c r="N20" i="1" s="1"/>
  <c r="O20" i="1" s="1"/>
  <c r="G19" i="1"/>
  <c r="H19" i="1" l="1"/>
  <c r="K15" i="1"/>
  <c r="I19" i="1" l="1"/>
  <c r="L15" i="1"/>
  <c r="J19" i="1" l="1"/>
  <c r="H25" i="1"/>
  <c r="H26" i="1"/>
  <c r="H27" i="1"/>
  <c r="M15" i="1"/>
  <c r="K19" i="1" l="1"/>
  <c r="I25" i="1"/>
  <c r="I26" i="1"/>
  <c r="I27" i="1"/>
  <c r="H29" i="1"/>
  <c r="N15" i="1"/>
  <c r="L19" i="1" l="1"/>
  <c r="J27" i="1"/>
  <c r="J25" i="1"/>
  <c r="J26" i="1"/>
  <c r="H31" i="1"/>
  <c r="H61" i="1" s="1"/>
  <c r="H56" i="1"/>
  <c r="I29" i="1"/>
  <c r="O15" i="1"/>
  <c r="M19" i="1" l="1"/>
  <c r="K27" i="1"/>
  <c r="K25" i="1"/>
  <c r="K26" i="1"/>
  <c r="H10" i="2"/>
  <c r="E4" i="8"/>
  <c r="K7" i="5"/>
  <c r="K9" i="5" s="1"/>
  <c r="K10" i="5" s="1"/>
  <c r="K11" i="5" s="1"/>
  <c r="I31" i="1"/>
  <c r="I61" i="1" s="1"/>
  <c r="I56" i="1"/>
  <c r="J29" i="1"/>
  <c r="N19" i="1" l="1"/>
  <c r="L27" i="1"/>
  <c r="L25" i="1"/>
  <c r="L26" i="1"/>
  <c r="J31" i="1"/>
  <c r="J61" i="1" s="1"/>
  <c r="J56" i="1"/>
  <c r="K14" i="5"/>
  <c r="K29" i="1"/>
  <c r="O19" i="1" l="1"/>
  <c r="M26" i="1"/>
  <c r="M27" i="1"/>
  <c r="M25" i="1"/>
  <c r="M7" i="5"/>
  <c r="M9" i="5" s="1"/>
  <c r="M10" i="5" s="1"/>
  <c r="M11" i="5" s="1"/>
  <c r="M14" i="5" s="1"/>
  <c r="K31" i="1"/>
  <c r="K61" i="1" s="1"/>
  <c r="K56" i="1"/>
  <c r="L29" i="1"/>
  <c r="N26" i="1" l="1"/>
  <c r="N27" i="1"/>
  <c r="N25" i="1"/>
  <c r="L31" i="1"/>
  <c r="L61" i="1" s="1"/>
  <c r="L56" i="1"/>
  <c r="M29" i="1"/>
  <c r="O26" i="1" l="1"/>
  <c r="O27" i="1"/>
  <c r="O25" i="1"/>
  <c r="O7" i="5"/>
  <c r="O9" i="5" s="1"/>
  <c r="O10" i="5" s="1"/>
  <c r="O11" i="5" s="1"/>
  <c r="O14" i="5" s="1"/>
  <c r="M31" i="1"/>
  <c r="M61" i="1" s="1"/>
  <c r="M56" i="1"/>
  <c r="N29" i="1"/>
  <c r="O29" i="1" l="1"/>
  <c r="O31" i="1" s="1"/>
  <c r="O61" i="1" s="1"/>
  <c r="N31" i="1"/>
  <c r="N61" i="1" s="1"/>
  <c r="N56" i="1"/>
  <c r="B3" i="1"/>
  <c r="O56" i="1" l="1"/>
  <c r="E26" i="1" l="1"/>
  <c r="G26" i="1"/>
  <c r="G27" i="1"/>
  <c r="G25" i="1"/>
  <c r="H33" i="2" l="1"/>
  <c r="F26" i="1"/>
  <c r="G29" i="1"/>
  <c r="G31" i="1" s="1"/>
  <c r="E27" i="1"/>
  <c r="J17" i="4"/>
  <c r="G19" i="4"/>
  <c r="G20" i="4" s="1"/>
  <c r="J7" i="5" l="1"/>
  <c r="J9" i="5" s="1"/>
  <c r="J10" i="5" s="1"/>
  <c r="J11" i="5" s="1"/>
  <c r="J14" i="5" s="1"/>
  <c r="G61" i="1"/>
  <c r="H34" i="2"/>
  <c r="F27" i="1"/>
  <c r="H32" i="2"/>
  <c r="E29" i="1"/>
  <c r="G56" i="1"/>
  <c r="J19" i="4"/>
  <c r="N23" i="2" s="1"/>
  <c r="E31" i="1" l="1"/>
  <c r="E61" i="1" s="1"/>
  <c r="F29" i="1"/>
  <c r="E56" i="1"/>
  <c r="J20" i="4"/>
  <c r="N24" i="2" l="1"/>
  <c r="N35" i="2" s="1"/>
  <c r="N17" i="2" l="1"/>
  <c r="G33" i="4"/>
  <c r="J33" i="4" s="1"/>
  <c r="N15" i="2"/>
  <c r="N55" i="1"/>
  <c r="O55" i="1"/>
  <c r="E55" i="1"/>
  <c r="J55" i="1"/>
  <c r="K55" i="1"/>
  <c r="H55" i="1"/>
  <c r="H9" i="2" s="1"/>
  <c r="B8" i="8" s="1"/>
  <c r="I55" i="1"/>
  <c r="M55" i="1"/>
  <c r="G55" i="1"/>
  <c r="L55" i="1"/>
  <c r="N25" i="2" l="1"/>
  <c r="G6" i="4"/>
  <c r="J6" i="4" s="1"/>
  <c r="E10" i="6"/>
  <c r="H5" i="6"/>
  <c r="F44" i="4"/>
  <c r="I11" i="6" l="1"/>
  <c r="M10" i="6"/>
  <c r="K11" i="6" s="1"/>
  <c r="J25" i="6"/>
  <c r="J233" i="6"/>
  <c r="J169" i="6"/>
  <c r="J72" i="6"/>
  <c r="J64" i="6"/>
  <c r="J56" i="6"/>
  <c r="J40" i="6"/>
  <c r="J32" i="6"/>
  <c r="J24" i="6"/>
  <c r="J79" i="6"/>
  <c r="J206" i="6"/>
  <c r="J142" i="6"/>
  <c r="J78" i="6"/>
  <c r="J223" i="6"/>
  <c r="J245" i="6"/>
  <c r="J181" i="6"/>
  <c r="J117" i="6"/>
  <c r="J53" i="6"/>
  <c r="J236" i="6"/>
  <c r="J164" i="6"/>
  <c r="J100" i="6"/>
  <c r="J36" i="6"/>
  <c r="J55" i="6"/>
  <c r="J203" i="6"/>
  <c r="J139" i="6"/>
  <c r="J75" i="6"/>
  <c r="J106" i="6"/>
  <c r="J42" i="6"/>
  <c r="J73" i="6"/>
  <c r="J108" i="6"/>
  <c r="J114" i="6"/>
  <c r="J210" i="6"/>
  <c r="J250" i="6"/>
  <c r="J249" i="6"/>
  <c r="J248" i="6"/>
  <c r="J241" i="6"/>
  <c r="J240" i="6"/>
  <c r="J234" i="6"/>
  <c r="J11" i="6"/>
  <c r="J63" i="6"/>
  <c r="J198" i="6"/>
  <c r="J134" i="6"/>
  <c r="J70" i="6"/>
  <c r="J191" i="6"/>
  <c r="J237" i="6"/>
  <c r="J173" i="6"/>
  <c r="J109" i="6"/>
  <c r="J45" i="6"/>
  <c r="J220" i="6"/>
  <c r="J156" i="6"/>
  <c r="J92" i="6"/>
  <c r="J28" i="6"/>
  <c r="J31" i="6"/>
  <c r="J195" i="6"/>
  <c r="J131" i="6"/>
  <c r="J67" i="6"/>
  <c r="J98" i="6"/>
  <c r="J34" i="6"/>
  <c r="J65" i="6"/>
  <c r="J51" i="6"/>
  <c r="J49" i="6"/>
  <c r="J74" i="6"/>
  <c r="J120" i="6"/>
  <c r="J86" i="6"/>
  <c r="J61" i="6"/>
  <c r="J211" i="6"/>
  <c r="J242" i="6"/>
  <c r="J128" i="6"/>
  <c r="J232" i="6"/>
  <c r="J226" i="6"/>
  <c r="J225" i="6"/>
  <c r="J218" i="6"/>
  <c r="J217" i="6"/>
  <c r="J216" i="6"/>
  <c r="J239" i="6"/>
  <c r="J39" i="6"/>
  <c r="J190" i="6"/>
  <c r="J126" i="6"/>
  <c r="J62" i="6"/>
  <c r="J159" i="6"/>
  <c r="J229" i="6"/>
  <c r="J165" i="6"/>
  <c r="J101" i="6"/>
  <c r="J37" i="6"/>
  <c r="J212" i="6"/>
  <c r="J148" i="6"/>
  <c r="J84" i="6"/>
  <c r="J231" i="6"/>
  <c r="J228" i="6"/>
  <c r="J187" i="6"/>
  <c r="J123" i="6"/>
  <c r="J59" i="6"/>
  <c r="J90" i="6"/>
  <c r="J26" i="6"/>
  <c r="J57" i="6"/>
  <c r="J115" i="6"/>
  <c r="J113" i="6"/>
  <c r="J43" i="6"/>
  <c r="J121" i="6"/>
  <c r="J150" i="6"/>
  <c r="J189" i="6"/>
  <c r="J87" i="6"/>
  <c r="J112" i="6"/>
  <c r="J80" i="6"/>
  <c r="J209" i="6"/>
  <c r="J208" i="6"/>
  <c r="J202" i="6"/>
  <c r="J200" i="6"/>
  <c r="J194" i="6"/>
  <c r="J193" i="6"/>
  <c r="J215" i="6"/>
  <c r="J246" i="6"/>
  <c r="J182" i="6"/>
  <c r="J118" i="6"/>
  <c r="J54" i="6"/>
  <c r="J127" i="6"/>
  <c r="J221" i="6"/>
  <c r="J157" i="6"/>
  <c r="J93" i="6"/>
  <c r="J29" i="6"/>
  <c r="J204" i="6"/>
  <c r="J140" i="6"/>
  <c r="J76" i="6"/>
  <c r="J207" i="6"/>
  <c r="J243" i="6"/>
  <c r="J179" i="6"/>
  <c r="J82" i="6"/>
  <c r="J105" i="6"/>
  <c r="J96" i="6"/>
  <c r="J125" i="6"/>
  <c r="J83" i="6"/>
  <c r="J160" i="6"/>
  <c r="J178" i="6"/>
  <c r="J186" i="6"/>
  <c r="J185" i="6"/>
  <c r="J184" i="6"/>
  <c r="J177" i="6"/>
  <c r="J176" i="6"/>
  <c r="J170" i="6"/>
  <c r="J183" i="6"/>
  <c r="J238" i="6"/>
  <c r="J174" i="6"/>
  <c r="J110" i="6"/>
  <c r="J46" i="6"/>
  <c r="J95" i="6"/>
  <c r="J213" i="6"/>
  <c r="J149" i="6"/>
  <c r="J85" i="6"/>
  <c r="J199" i="6"/>
  <c r="J196" i="6"/>
  <c r="J132" i="6"/>
  <c r="J68" i="6"/>
  <c r="J175" i="6"/>
  <c r="J235" i="6"/>
  <c r="J171" i="6"/>
  <c r="J107" i="6"/>
  <c r="J41" i="6"/>
  <c r="J111" i="6"/>
  <c r="J172" i="6"/>
  <c r="J50" i="6"/>
  <c r="J146" i="6"/>
  <c r="J48" i="6"/>
  <c r="J168" i="6"/>
  <c r="J162" i="6"/>
  <c r="J161" i="6"/>
  <c r="J154" i="6"/>
  <c r="J153" i="6"/>
  <c r="J152" i="6"/>
  <c r="J167" i="6"/>
  <c r="J230" i="6"/>
  <c r="J166" i="6"/>
  <c r="J102" i="6"/>
  <c r="J38" i="6"/>
  <c r="J71" i="6"/>
  <c r="J205" i="6"/>
  <c r="J141" i="6"/>
  <c r="J77" i="6"/>
  <c r="J151" i="6"/>
  <c r="J188" i="6"/>
  <c r="J124" i="6"/>
  <c r="J60" i="6"/>
  <c r="J135" i="6"/>
  <c r="J227" i="6"/>
  <c r="J163" i="6"/>
  <c r="J99" i="6"/>
  <c r="J35" i="6"/>
  <c r="J66" i="6"/>
  <c r="J97" i="6"/>
  <c r="J33" i="6"/>
  <c r="J192" i="6"/>
  <c r="J122" i="6"/>
  <c r="J88" i="6"/>
  <c r="J247" i="6"/>
  <c r="J244" i="6"/>
  <c r="J147" i="6"/>
  <c r="J224" i="6"/>
  <c r="J201" i="6"/>
  <c r="J145" i="6"/>
  <c r="J144" i="6"/>
  <c r="J138" i="6"/>
  <c r="J136" i="6"/>
  <c r="J130" i="6"/>
  <c r="J129" i="6"/>
  <c r="J143" i="6"/>
  <c r="J222" i="6"/>
  <c r="J158" i="6"/>
  <c r="J94" i="6"/>
  <c r="J30" i="6"/>
  <c r="J47" i="6"/>
  <c r="J197" i="6"/>
  <c r="J133" i="6"/>
  <c r="J69" i="6"/>
  <c r="J103" i="6"/>
  <c r="J180" i="6"/>
  <c r="J116" i="6"/>
  <c r="J52" i="6"/>
  <c r="J119" i="6"/>
  <c r="J219" i="6"/>
  <c r="J155" i="6"/>
  <c r="J91" i="6"/>
  <c r="J27" i="6"/>
  <c r="J58" i="6"/>
  <c r="J89" i="6"/>
  <c r="J137" i="6"/>
  <c r="J104" i="6"/>
  <c r="J214" i="6"/>
  <c r="J23" i="6"/>
  <c r="J44" i="6"/>
  <c r="J81" i="6"/>
  <c r="G23" i="4"/>
  <c r="Q154" i="6" l="1"/>
  <c r="Q118" i="6"/>
  <c r="Q202" i="6"/>
  <c r="Q166" i="6"/>
  <c r="Q94" i="6"/>
  <c r="Q250" i="6"/>
  <c r="Q130" i="6"/>
  <c r="Q178" i="6"/>
  <c r="Q106" i="6"/>
  <c r="Q214" i="6"/>
  <c r="Q190" i="6"/>
  <c r="Q238" i="6"/>
  <c r="Q226" i="6"/>
  <c r="Q142" i="6"/>
  <c r="Q82" i="6"/>
  <c r="Q70" i="6"/>
  <c r="Q46" i="6"/>
  <c r="Q58" i="6"/>
  <c r="E14" i="6"/>
  <c r="Q34" i="6"/>
  <c r="L11" i="6"/>
  <c r="J23" i="4"/>
  <c r="M11" i="6" l="1"/>
  <c r="K12" i="6" s="1"/>
  <c r="J12" i="6" s="1"/>
  <c r="I12" i="6" l="1"/>
  <c r="L12" i="6"/>
  <c r="M12" i="6" l="1"/>
  <c r="K13" i="6" s="1"/>
  <c r="J13" i="6" s="1"/>
  <c r="F42" i="4"/>
  <c r="I13" i="6" l="1"/>
  <c r="L13" i="6"/>
  <c r="M13" i="6" l="1"/>
  <c r="I14" i="6" l="1"/>
  <c r="K14" i="6"/>
  <c r="J14" i="6" s="1"/>
  <c r="L14" i="6" l="1"/>
  <c r="M14" i="6" s="1"/>
  <c r="K15" i="6" l="1"/>
  <c r="I15" i="6"/>
  <c r="J15" i="6" l="1"/>
  <c r="L15" i="6" l="1"/>
  <c r="M15" i="6" s="1"/>
  <c r="K16" i="6" l="1"/>
  <c r="I16" i="6"/>
  <c r="J16" i="6" l="1"/>
  <c r="L16" i="6" l="1"/>
  <c r="M16" i="6" s="1"/>
  <c r="I17" i="6" l="1"/>
  <c r="K17" i="6"/>
  <c r="J17" i="6" l="1"/>
  <c r="L17" i="6" l="1"/>
  <c r="M17" i="6" s="1"/>
  <c r="I18" i="6" l="1"/>
  <c r="K18" i="6"/>
  <c r="J18" i="6" s="1"/>
  <c r="L18" i="6" l="1"/>
  <c r="M18" i="6" s="1"/>
  <c r="K19" i="6" l="1"/>
  <c r="J19" i="6" s="1"/>
  <c r="I19" i="6"/>
  <c r="L19" i="6" l="1"/>
  <c r="M19" i="6" s="1"/>
  <c r="K20" i="6" l="1"/>
  <c r="J20" i="6" s="1"/>
  <c r="L20" i="6" s="1"/>
  <c r="I20" i="6"/>
  <c r="M20" i="6" l="1"/>
  <c r="K21" i="6" l="1"/>
  <c r="J21" i="6" s="1"/>
  <c r="I21" i="6"/>
  <c r="L21" i="6" l="1"/>
  <c r="M21" i="6" s="1"/>
  <c r="K22" i="6" l="1"/>
  <c r="J22" i="6" s="1"/>
  <c r="Q22" i="6" s="1"/>
  <c r="I22" i="6"/>
  <c r="L22" i="6" l="1"/>
  <c r="P22" i="6" s="1"/>
  <c r="E34" i="1" s="1"/>
  <c r="O22" i="6"/>
  <c r="E35" i="1" s="1"/>
  <c r="E36" i="1" l="1"/>
  <c r="E59" i="1" s="1"/>
  <c r="M22" i="6"/>
  <c r="E39" i="1" l="1"/>
  <c r="N36" i="2"/>
  <c r="N37" i="2" s="1"/>
  <c r="K23" i="6"/>
  <c r="I23" i="6"/>
  <c r="O15" i="5" l="1"/>
  <c r="N38" i="2"/>
  <c r="B4" i="8" s="1"/>
  <c r="E42" i="1"/>
  <c r="H7" i="2"/>
  <c r="J15" i="5"/>
  <c r="K15" i="5"/>
  <c r="O68" i="5"/>
  <c r="M57" i="5"/>
  <c r="J35" i="5"/>
  <c r="G34" i="4"/>
  <c r="G35" i="4" s="1"/>
  <c r="M15" i="5"/>
  <c r="K46" i="5"/>
  <c r="L23" i="6"/>
  <c r="M23" i="6" s="1"/>
  <c r="F43" i="4" l="1"/>
  <c r="J34" i="4"/>
  <c r="J35" i="4" s="1"/>
  <c r="N16" i="2" s="1"/>
  <c r="I24" i="6"/>
  <c r="K24" i="6"/>
  <c r="N18" i="2" l="1"/>
  <c r="N39" i="2" s="1"/>
  <c r="J38" i="4"/>
  <c r="G38" i="4" s="1"/>
  <c r="J9" i="4"/>
  <c r="L24" i="6"/>
  <c r="M24" i="6" s="1"/>
  <c r="G7" i="4" l="1"/>
  <c r="J7" i="4" s="1"/>
  <c r="J5" i="4" s="1"/>
  <c r="O46" i="1"/>
  <c r="J46" i="1"/>
  <c r="M19" i="5" s="1"/>
  <c r="J32" i="5"/>
  <c r="J33" i="5" s="1"/>
  <c r="D7" i="7"/>
  <c r="H46" i="1"/>
  <c r="K19" i="5" s="1"/>
  <c r="E52" i="1"/>
  <c r="H6" i="2" s="1"/>
  <c r="K46" i="1"/>
  <c r="I46" i="1"/>
  <c r="G46" i="1"/>
  <c r="E46" i="1"/>
  <c r="E7" i="7"/>
  <c r="F7" i="7" s="1"/>
  <c r="G7" i="7" s="1"/>
  <c r="M46" i="1"/>
  <c r="N46" i="1"/>
  <c r="F45" i="4"/>
  <c r="L46" i="1"/>
  <c r="O19" i="5" s="1"/>
  <c r="I25" i="6"/>
  <c r="K25" i="6"/>
  <c r="G27" i="7" l="1"/>
  <c r="J19" i="5"/>
  <c r="E53" i="1"/>
  <c r="I44" i="1"/>
  <c r="M60" i="5" s="1"/>
  <c r="G32" i="7"/>
  <c r="F12" i="7"/>
  <c r="F21" i="7"/>
  <c r="F16" i="7"/>
  <c r="G13" i="7"/>
  <c r="D12" i="7"/>
  <c r="G10" i="7"/>
  <c r="G17" i="7"/>
  <c r="G25" i="7"/>
  <c r="F11" i="7"/>
  <c r="F14" i="7"/>
  <c r="G12" i="7"/>
  <c r="G23" i="7"/>
  <c r="E14" i="7"/>
  <c r="F17" i="7"/>
  <c r="G31" i="7"/>
  <c r="F18" i="7"/>
  <c r="F22" i="7"/>
  <c r="D10" i="7"/>
  <c r="G29" i="7"/>
  <c r="G30" i="7"/>
  <c r="F15" i="7"/>
  <c r="F10" i="7"/>
  <c r="G20" i="7"/>
  <c r="G11" i="7"/>
  <c r="H44" i="1"/>
  <c r="K71" i="5" s="1"/>
  <c r="K72" i="5" s="1"/>
  <c r="K44" i="1"/>
  <c r="N71" i="5" s="1"/>
  <c r="N72" i="5" s="1"/>
  <c r="M44" i="1"/>
  <c r="I43" i="5"/>
  <c r="I54" i="5" s="1"/>
  <c r="E12" i="7"/>
  <c r="G24" i="7"/>
  <c r="E16" i="7"/>
  <c r="G15" i="7"/>
  <c r="E13" i="7"/>
  <c r="E15" i="7"/>
  <c r="G22" i="7"/>
  <c r="J44" i="1"/>
  <c r="M71" i="5" s="1"/>
  <c r="M72" i="5" s="1"/>
  <c r="I32" i="5"/>
  <c r="G14" i="7"/>
  <c r="G21" i="7"/>
  <c r="F23" i="7"/>
  <c r="G26" i="7"/>
  <c r="G28" i="7"/>
  <c r="G16" i="7"/>
  <c r="F25" i="7"/>
  <c r="E44" i="1"/>
  <c r="E47" i="1" s="1"/>
  <c r="E49" i="1" s="1"/>
  <c r="K43" i="5"/>
  <c r="K44" i="5" s="1"/>
  <c r="L44" i="1"/>
  <c r="O71" i="5" s="1"/>
  <c r="F13" i="7"/>
  <c r="D13" i="7"/>
  <c r="E10" i="7"/>
  <c r="F20" i="7"/>
  <c r="G19" i="7"/>
  <c r="G33" i="7"/>
  <c r="F24" i="7"/>
  <c r="N44" i="1"/>
  <c r="O44" i="1"/>
  <c r="O65" i="5"/>
  <c r="O66" i="5" s="1"/>
  <c r="G44" i="1"/>
  <c r="K60" i="5" s="1"/>
  <c r="K61" i="5" s="1"/>
  <c r="M54" i="5"/>
  <c r="M55" i="5" s="1"/>
  <c r="D11" i="7"/>
  <c r="E11" i="7"/>
  <c r="F19" i="7"/>
  <c r="E17" i="7"/>
  <c r="G18" i="7"/>
  <c r="L25" i="6"/>
  <c r="M25" i="6" s="1"/>
  <c r="F8" i="7" l="1"/>
  <c r="K49" i="5"/>
  <c r="L60" i="5"/>
  <c r="L61" i="5" s="1"/>
  <c r="D8" i="7"/>
  <c r="E9" i="7"/>
  <c r="D9" i="7"/>
  <c r="I49" i="5"/>
  <c r="I50" i="5" s="1"/>
  <c r="I51" i="5" s="1"/>
  <c r="G9" i="7"/>
  <c r="I38" i="5"/>
  <c r="I39" i="5" s="1"/>
  <c r="I40" i="5" s="1"/>
  <c r="I60" i="5"/>
  <c r="I61" i="5" s="1"/>
  <c r="I62" i="5" s="1"/>
  <c r="I71" i="5"/>
  <c r="J60" i="5"/>
  <c r="J61" i="5" s="1"/>
  <c r="L71" i="5"/>
  <c r="L72" i="5" s="1"/>
  <c r="J71" i="5"/>
  <c r="J72" i="5" s="1"/>
  <c r="J49" i="5"/>
  <c r="J50" i="5" s="1"/>
  <c r="G8" i="7"/>
  <c r="J38" i="5"/>
  <c r="E8" i="7"/>
  <c r="F9" i="7"/>
  <c r="K26" i="6"/>
  <c r="I26" i="6"/>
  <c r="I65" i="5"/>
  <c r="I72" i="5" l="1"/>
  <c r="I73" i="5" s="1"/>
  <c r="J73" i="5" s="1"/>
  <c r="K73" i="5" s="1"/>
  <c r="L73" i="5" s="1"/>
  <c r="M73" i="5" s="1"/>
  <c r="N73" i="5" s="1"/>
  <c r="J22" i="5"/>
  <c r="J62" i="5"/>
  <c r="K62" i="5" s="1"/>
  <c r="L62" i="5" s="1"/>
  <c r="J51" i="5"/>
  <c r="K22" i="5"/>
  <c r="M22" i="5"/>
  <c r="O22" i="5"/>
  <c r="L26" i="6"/>
  <c r="M26" i="6" s="1"/>
  <c r="K27" i="6" l="1"/>
  <c r="I27" i="6"/>
  <c r="L27" i="6" l="1"/>
  <c r="M27" i="6" s="1"/>
  <c r="K28" i="6" l="1"/>
  <c r="L28" i="6" s="1"/>
  <c r="I28" i="6"/>
  <c r="M28" i="6" l="1"/>
  <c r="I29" i="6" s="1"/>
  <c r="K29" i="6" l="1"/>
  <c r="L29" i="6" s="1"/>
  <c r="M29" i="6" s="1"/>
  <c r="I30" i="6" l="1"/>
  <c r="K30" i="6"/>
  <c r="L30" i="6" s="1"/>
  <c r="M30" i="6" l="1"/>
  <c r="K31" i="6" l="1"/>
  <c r="L31" i="6" s="1"/>
  <c r="I31" i="6"/>
  <c r="M31" i="6" l="1"/>
  <c r="I32" i="6" s="1"/>
  <c r="K32" i="6" l="1"/>
  <c r="L32" i="6" s="1"/>
  <c r="M32" i="6" s="1"/>
  <c r="I33" i="6" l="1"/>
  <c r="K33" i="6"/>
  <c r="L33" i="6" s="1"/>
  <c r="M33" i="6" l="1"/>
  <c r="K34" i="6" l="1"/>
  <c r="I34" i="6"/>
  <c r="L34" i="6" l="1"/>
  <c r="P34" i="6" s="1"/>
  <c r="G34" i="1" s="1"/>
  <c r="O34" i="6"/>
  <c r="G35" i="1" s="1"/>
  <c r="G36" i="1" l="1"/>
  <c r="G59" i="1" s="1"/>
  <c r="M34" i="6"/>
  <c r="G39" i="1" l="1"/>
  <c r="G53" i="1" s="1"/>
  <c r="J16" i="5"/>
  <c r="J17" i="5" s="1"/>
  <c r="J34" i="5"/>
  <c r="I35" i="6"/>
  <c r="K35" i="6"/>
  <c r="J20" i="5" l="1"/>
  <c r="G47" i="1"/>
  <c r="G49" i="1" s="1"/>
  <c r="G52" i="1"/>
  <c r="J36" i="5"/>
  <c r="K39" i="5" s="1"/>
  <c r="D14" i="7" s="1"/>
  <c r="D35" i="7" s="1"/>
  <c r="J28" i="5" s="1"/>
  <c r="L35" i="6"/>
  <c r="M35" i="6" s="1"/>
  <c r="J18" i="5" l="1"/>
  <c r="J21" i="5" s="1"/>
  <c r="J23" i="5" s="1"/>
  <c r="J39" i="5"/>
  <c r="J40" i="5" s="1"/>
  <c r="K36" i="6"/>
  <c r="I36" i="6"/>
  <c r="J26" i="5" l="1"/>
  <c r="J27" i="5" s="1"/>
  <c r="L36" i="6"/>
  <c r="M36" i="6" s="1"/>
  <c r="I37" i="6" l="1"/>
  <c r="K37" i="6"/>
  <c r="L37" i="6" l="1"/>
  <c r="M37" i="6" s="1"/>
  <c r="K38" i="6" l="1"/>
  <c r="I38" i="6"/>
  <c r="L38" i="6" l="1"/>
  <c r="M38" i="6" s="1"/>
  <c r="K39" i="6" l="1"/>
  <c r="I39" i="6"/>
  <c r="L39" i="6" l="1"/>
  <c r="M39" i="6" s="1"/>
  <c r="K40" i="6" l="1"/>
  <c r="L40" i="6" s="1"/>
  <c r="I40" i="6"/>
  <c r="M40" i="6" l="1"/>
  <c r="I41" i="6" s="1"/>
  <c r="K41" i="6" l="1"/>
  <c r="L41" i="6" s="1"/>
  <c r="M41" i="6" s="1"/>
  <c r="K42" i="6" l="1"/>
  <c r="L42" i="6" s="1"/>
  <c r="I42" i="6"/>
  <c r="M42" i="6" l="1"/>
  <c r="I43" i="6" s="1"/>
  <c r="K43" i="6" l="1"/>
  <c r="L43" i="6" s="1"/>
  <c r="M43" i="6" s="1"/>
  <c r="K44" i="6" s="1"/>
  <c r="L44" i="6" s="1"/>
  <c r="I44" i="6" l="1"/>
  <c r="M44" i="6" s="1"/>
  <c r="K45" i="6" l="1"/>
  <c r="L45" i="6" s="1"/>
  <c r="I45" i="6"/>
  <c r="M45" i="6" l="1"/>
  <c r="K46" i="6" s="1"/>
  <c r="L46" i="6" s="1"/>
  <c r="P46" i="6" s="1"/>
  <c r="H34" i="1" s="1"/>
  <c r="I46" i="6" l="1"/>
  <c r="M46" i="6" s="1"/>
  <c r="O46" i="6"/>
  <c r="H35" i="1" s="1"/>
  <c r="H36" i="1" s="1"/>
  <c r="K45" i="5" l="1"/>
  <c r="K16" i="5"/>
  <c r="K17" i="5" s="1"/>
  <c r="K20" i="5" s="1"/>
  <c r="K47" i="6"/>
  <c r="I47" i="6"/>
  <c r="H39" i="1"/>
  <c r="H53" i="1" s="1"/>
  <c r="H59" i="1"/>
  <c r="H47" i="1" l="1"/>
  <c r="H49" i="1" s="1"/>
  <c r="K18" i="5" s="1"/>
  <c r="K21" i="5" s="1"/>
  <c r="K23" i="5" s="1"/>
  <c r="K26" i="5" s="1"/>
  <c r="K27" i="5" s="1"/>
  <c r="H12" i="2" s="1"/>
  <c r="H52" i="1"/>
  <c r="H42" i="1"/>
  <c r="K47" i="5"/>
  <c r="L50" i="5" s="1"/>
  <c r="E18" i="7" s="1"/>
  <c r="E35" i="7" s="1"/>
  <c r="L47" i="6"/>
  <c r="M47" i="6" s="1"/>
  <c r="K50" i="5" l="1"/>
  <c r="K51" i="5" s="1"/>
  <c r="K28" i="5"/>
  <c r="H11" i="2"/>
  <c r="K48" i="6"/>
  <c r="I48" i="6"/>
  <c r="L48" i="6" l="1"/>
  <c r="M48" i="6" s="1"/>
  <c r="I49" i="6" l="1"/>
  <c r="K49" i="6"/>
  <c r="L49" i="6" l="1"/>
  <c r="M49" i="6" s="1"/>
  <c r="K50" i="6" l="1"/>
  <c r="I50" i="6"/>
  <c r="L50" i="6" l="1"/>
  <c r="M50" i="6" s="1"/>
  <c r="K51" i="6" l="1"/>
  <c r="I51" i="6"/>
  <c r="L51" i="6" l="1"/>
  <c r="M51" i="6" s="1"/>
  <c r="I52" i="6" l="1"/>
  <c r="K52" i="6"/>
  <c r="L52" i="6" s="1"/>
  <c r="M52" i="6" l="1"/>
  <c r="K53" i="6" l="1"/>
  <c r="L53" i="6" s="1"/>
  <c r="I53" i="6"/>
  <c r="M53" i="6" l="1"/>
  <c r="I54" i="6" s="1"/>
  <c r="K54" i="6" l="1"/>
  <c r="L54" i="6" s="1"/>
  <c r="M54" i="6" s="1"/>
  <c r="I55" i="6" l="1"/>
  <c r="K55" i="6"/>
  <c r="L55" i="6" s="1"/>
  <c r="M55" i="6" l="1"/>
  <c r="K56" i="6" l="1"/>
  <c r="L56" i="6" s="1"/>
  <c r="I56" i="6"/>
  <c r="M56" i="6" l="1"/>
  <c r="K57" i="6" s="1"/>
  <c r="L57" i="6" s="1"/>
  <c r="I57" i="6" l="1"/>
  <c r="M57" i="6" s="1"/>
  <c r="K58" i="6" s="1"/>
  <c r="I58" i="6" l="1"/>
  <c r="L58" i="6"/>
  <c r="P58" i="6" s="1"/>
  <c r="I34" i="1" s="1"/>
  <c r="O58" i="6"/>
  <c r="I35" i="1" s="1"/>
  <c r="I36" i="1" l="1"/>
  <c r="M58" i="6"/>
  <c r="K59" i="6" l="1"/>
  <c r="I59" i="6"/>
  <c r="I59" i="1"/>
  <c r="I39" i="1"/>
  <c r="I53" i="1" s="1"/>
  <c r="I42" i="1" l="1"/>
  <c r="I52" i="1"/>
  <c r="I47" i="1"/>
  <c r="I49" i="1" s="1"/>
  <c r="L59" i="6"/>
  <c r="M59" i="6" s="1"/>
  <c r="I60" i="6" l="1"/>
  <c r="K60" i="6"/>
  <c r="L60" i="6" l="1"/>
  <c r="M60" i="6" s="1"/>
  <c r="K61" i="6" l="1"/>
  <c r="I61" i="6"/>
  <c r="L61" i="6" l="1"/>
  <c r="M61" i="6" s="1"/>
  <c r="K62" i="6" l="1"/>
  <c r="I62" i="6"/>
  <c r="L62" i="6" l="1"/>
  <c r="M62" i="6" s="1"/>
  <c r="K63" i="6" l="1"/>
  <c r="I63" i="6"/>
  <c r="L63" i="6" l="1"/>
  <c r="M63" i="6" s="1"/>
  <c r="K64" i="6" l="1"/>
  <c r="L64" i="6" s="1"/>
  <c r="I64" i="6"/>
  <c r="M64" i="6" l="1"/>
  <c r="K65" i="6" l="1"/>
  <c r="L65" i="6" s="1"/>
  <c r="I65" i="6"/>
  <c r="M65" i="6" l="1"/>
  <c r="I66" i="6" s="1"/>
  <c r="K66" i="6" l="1"/>
  <c r="L66" i="6" s="1"/>
  <c r="M66" i="6" s="1"/>
  <c r="K67" i="6" l="1"/>
  <c r="L67" i="6" s="1"/>
  <c r="I67" i="6"/>
  <c r="M67" i="6" l="1"/>
  <c r="K68" i="6" s="1"/>
  <c r="L68" i="6" s="1"/>
  <c r="I68" i="6" l="1"/>
  <c r="M68" i="6" s="1"/>
  <c r="K69" i="6" l="1"/>
  <c r="L69" i="6" s="1"/>
  <c r="I69" i="6"/>
  <c r="M69" i="6" l="1"/>
  <c r="I70" i="6" s="1"/>
  <c r="K70" i="6" l="1"/>
  <c r="L70" i="6" s="1"/>
  <c r="P70" i="6" s="1"/>
  <c r="J34" i="1" s="1"/>
  <c r="O70" i="6" l="1"/>
  <c r="J35" i="1" s="1"/>
  <c r="J36" i="1" s="1"/>
  <c r="M70" i="6"/>
  <c r="M56" i="5" s="1"/>
  <c r="I71" i="6" l="1"/>
  <c r="K71" i="6"/>
  <c r="L71" i="6" s="1"/>
  <c r="M16" i="5"/>
  <c r="M17" i="5" s="1"/>
  <c r="M20" i="5" s="1"/>
  <c r="J59" i="1"/>
  <c r="J39" i="1"/>
  <c r="J53" i="1" s="1"/>
  <c r="M58" i="5"/>
  <c r="N61" i="5" s="1"/>
  <c r="F26" i="7" s="1"/>
  <c r="F35" i="7" s="1"/>
  <c r="M28" i="5" s="1"/>
  <c r="H4" i="8" s="1"/>
  <c r="M71" i="6" l="1"/>
  <c r="I72" i="6" s="1"/>
  <c r="M61" i="5"/>
  <c r="M62" i="5" s="1"/>
  <c r="J47" i="1"/>
  <c r="J49" i="1" s="1"/>
  <c r="M18" i="5" s="1"/>
  <c r="M21" i="5" s="1"/>
  <c r="M23" i="5" s="1"/>
  <c r="M26" i="5" s="1"/>
  <c r="M27" i="5" s="1"/>
  <c r="K4" i="8" s="1"/>
  <c r="J52" i="1"/>
  <c r="J42" i="1"/>
  <c r="K72" i="6" l="1"/>
  <c r="L72" i="6" s="1"/>
  <c r="M72" i="6" s="1"/>
  <c r="K73" i="6" l="1"/>
  <c r="I73" i="6"/>
  <c r="L73" i="6" l="1"/>
  <c r="M73" i="6" s="1"/>
  <c r="K74" i="6" l="1"/>
  <c r="I74" i="6"/>
  <c r="L74" i="6" l="1"/>
  <c r="M74" i="6" s="1"/>
  <c r="K75" i="6" l="1"/>
  <c r="I75" i="6"/>
  <c r="L75" i="6" l="1"/>
  <c r="M75" i="6" s="1"/>
  <c r="K76" i="6" l="1"/>
  <c r="L76" i="6" s="1"/>
  <c r="I76" i="6"/>
  <c r="M76" i="6" l="1"/>
  <c r="I77" i="6" s="1"/>
  <c r="K77" i="6" l="1"/>
  <c r="L77" i="6" s="1"/>
  <c r="M77" i="6" s="1"/>
  <c r="I78" i="6" l="1"/>
  <c r="K78" i="6"/>
  <c r="L78" i="6" s="1"/>
  <c r="M78" i="6" l="1"/>
  <c r="K79" i="6" l="1"/>
  <c r="L79" i="6" s="1"/>
  <c r="I79" i="6"/>
  <c r="M79" i="6" l="1"/>
  <c r="I80" i="6" s="1"/>
  <c r="K80" i="6" l="1"/>
  <c r="L80" i="6" s="1"/>
  <c r="M80" i="6" s="1"/>
  <c r="K81" i="6" l="1"/>
  <c r="L81" i="6" s="1"/>
  <c r="I81" i="6"/>
  <c r="M81" i="6" l="1"/>
  <c r="I82" i="6" l="1"/>
  <c r="K82" i="6"/>
  <c r="L82" i="6" l="1"/>
  <c r="P82" i="6" s="1"/>
  <c r="K34" i="1" s="1"/>
  <c r="O82" i="6"/>
  <c r="K35" i="1" s="1"/>
  <c r="M82" i="6" l="1"/>
  <c r="K83" i="6" s="1"/>
  <c r="K36" i="1"/>
  <c r="I83" i="6" l="1"/>
  <c r="K59" i="1"/>
  <c r="K39" i="1"/>
  <c r="K53" i="1" s="1"/>
  <c r="L83" i="6"/>
  <c r="M83" i="6" l="1"/>
  <c r="I84" i="6" s="1"/>
  <c r="K47" i="1"/>
  <c r="K49" i="1" s="1"/>
  <c r="K52" i="1"/>
  <c r="K42" i="1"/>
  <c r="K84" i="6" l="1"/>
  <c r="L84" i="6" s="1"/>
  <c r="M84" i="6" s="1"/>
  <c r="K85" i="6" l="1"/>
  <c r="I85" i="6"/>
  <c r="L85" i="6" l="1"/>
  <c r="M85" i="6" s="1"/>
  <c r="K86" i="6" l="1"/>
  <c r="I86" i="6"/>
  <c r="L86" i="6" l="1"/>
  <c r="M86" i="6" s="1"/>
  <c r="K87" i="6" l="1"/>
  <c r="I87" i="6"/>
  <c r="L87" i="6" l="1"/>
  <c r="M87" i="6" s="1"/>
  <c r="K88" i="6" l="1"/>
  <c r="L88" i="6" s="1"/>
  <c r="I88" i="6"/>
  <c r="M88" i="6" l="1"/>
  <c r="K89" i="6" s="1"/>
  <c r="L89" i="6" s="1"/>
  <c r="I89" i="6" l="1"/>
  <c r="M89" i="6" s="1"/>
  <c r="K90" i="6" s="1"/>
  <c r="L90" i="6" s="1"/>
  <c r="I90" i="6" l="1"/>
  <c r="M90" i="6" s="1"/>
  <c r="I91" i="6" s="1"/>
  <c r="K91" i="6" l="1"/>
  <c r="L91" i="6" s="1"/>
  <c r="M91" i="6" s="1"/>
  <c r="K92" i="6" l="1"/>
  <c r="L92" i="6" s="1"/>
  <c r="I92" i="6"/>
  <c r="M92" i="6" l="1"/>
  <c r="I93" i="6" s="1"/>
  <c r="K93" i="6" l="1"/>
  <c r="L93" i="6" s="1"/>
  <c r="M93" i="6" s="1"/>
  <c r="K94" i="6" l="1"/>
  <c r="I94" i="6"/>
  <c r="L94" i="6" l="1"/>
  <c r="P94" i="6" s="1"/>
  <c r="L34" i="1" s="1"/>
  <c r="O94" i="6"/>
  <c r="L35" i="1" s="1"/>
  <c r="L36" i="1" l="1"/>
  <c r="M94" i="6"/>
  <c r="O67" i="5" l="1"/>
  <c r="O16" i="5"/>
  <c r="O17" i="5" s="1"/>
  <c r="O20" i="5" s="1"/>
  <c r="K95" i="6"/>
  <c r="I95" i="6"/>
  <c r="L39" i="1"/>
  <c r="L53" i="1" s="1"/>
  <c r="L59" i="1"/>
  <c r="L52" i="1" l="1"/>
  <c r="L47" i="1"/>
  <c r="L49" i="1" s="1"/>
  <c r="O18" i="5" s="1"/>
  <c r="O21" i="5" s="1"/>
  <c r="O23" i="5" s="1"/>
  <c r="O26" i="5" s="1"/>
  <c r="O27" i="5" s="1"/>
  <c r="L42" i="1"/>
  <c r="O69" i="5"/>
  <c r="P72" i="5" s="1"/>
  <c r="G34" i="7" s="1"/>
  <c r="G35" i="7" s="1"/>
  <c r="O28" i="5" s="1"/>
  <c r="L95" i="6"/>
  <c r="M95" i="6" s="1"/>
  <c r="I96" i="6" l="1"/>
  <c r="K96" i="6"/>
  <c r="O72" i="5"/>
  <c r="O73" i="5" s="1"/>
  <c r="L96" i="6" l="1"/>
  <c r="M96" i="6" s="1"/>
  <c r="K97" i="6" l="1"/>
  <c r="I97" i="6"/>
  <c r="L97" i="6" l="1"/>
  <c r="M97" i="6" s="1"/>
  <c r="I98" i="6" l="1"/>
  <c r="K98" i="6"/>
  <c r="L98" i="6" l="1"/>
  <c r="M98" i="6" s="1"/>
  <c r="K99" i="6" l="1"/>
  <c r="I99" i="6"/>
  <c r="L99" i="6" l="1"/>
  <c r="M99" i="6" s="1"/>
  <c r="I100" i="6" l="1"/>
  <c r="K100" i="6"/>
  <c r="L100" i="6" s="1"/>
  <c r="M100" i="6" l="1"/>
  <c r="K101" i="6" l="1"/>
  <c r="L101" i="6" s="1"/>
  <c r="I101" i="6"/>
  <c r="M101" i="6" l="1"/>
  <c r="I102" i="6" s="1"/>
  <c r="K102" i="6" l="1"/>
  <c r="L102" i="6" s="1"/>
  <c r="M102" i="6" s="1"/>
  <c r="I103" i="6" l="1"/>
  <c r="K103" i="6"/>
  <c r="L103" i="6" s="1"/>
  <c r="M103" i="6" l="1"/>
  <c r="K104" i="6" l="1"/>
  <c r="L104" i="6" s="1"/>
  <c r="I104" i="6"/>
  <c r="M104" i="6" l="1"/>
  <c r="K105" i="6" s="1"/>
  <c r="L105" i="6" s="1"/>
  <c r="I105" i="6" l="1"/>
  <c r="M105" i="6" s="1"/>
  <c r="I106" i="6" s="1"/>
  <c r="K106" i="6" l="1"/>
  <c r="L106" i="6" s="1"/>
  <c r="O106" i="6" l="1"/>
  <c r="M35" i="1" s="1"/>
  <c r="P106" i="6"/>
  <c r="M34" i="1" s="1"/>
  <c r="M106" i="6"/>
  <c r="K107" i="6" s="1"/>
  <c r="M36" i="1" l="1"/>
  <c r="M59" i="1" s="1"/>
  <c r="I107" i="6"/>
  <c r="L107" i="6"/>
  <c r="M107" i="6" l="1"/>
  <c r="I108" i="6" s="1"/>
  <c r="M39" i="1"/>
  <c r="M53" i="1" s="1"/>
  <c r="K108" i="6" l="1"/>
  <c r="L108" i="6" s="1"/>
  <c r="M108" i="6" s="1"/>
  <c r="M42" i="1"/>
  <c r="M47" i="1"/>
  <c r="M49" i="1" s="1"/>
  <c r="M52" i="1"/>
  <c r="I109" i="6" l="1"/>
  <c r="K109" i="6"/>
  <c r="L109" i="6" l="1"/>
  <c r="M109" i="6" s="1"/>
  <c r="I110" i="6" l="1"/>
  <c r="K110" i="6"/>
  <c r="L110" i="6" l="1"/>
  <c r="M110" i="6" s="1"/>
  <c r="I111" i="6" l="1"/>
  <c r="K111" i="6"/>
  <c r="L111" i="6" l="1"/>
  <c r="M111" i="6" s="1"/>
  <c r="K112" i="6" l="1"/>
  <c r="L112" i="6" s="1"/>
  <c r="I112" i="6"/>
  <c r="M112" i="6" l="1"/>
  <c r="K113" i="6" s="1"/>
  <c r="L113" i="6" s="1"/>
  <c r="I113" i="6" l="1"/>
  <c r="M113" i="6" s="1"/>
  <c r="I114" i="6" l="1"/>
  <c r="K114" i="6"/>
  <c r="L114" i="6" s="1"/>
  <c r="M114" i="6" l="1"/>
  <c r="K115" i="6" s="1"/>
  <c r="L115" i="6" s="1"/>
  <c r="I115" i="6" l="1"/>
  <c r="M115" i="6" s="1"/>
  <c r="K116" i="6" s="1"/>
  <c r="L116" i="6" s="1"/>
  <c r="I116" i="6" l="1"/>
  <c r="M116" i="6" s="1"/>
  <c r="K117" i="6" l="1"/>
  <c r="L117" i="6" s="1"/>
  <c r="I117" i="6"/>
  <c r="M117" i="6" l="1"/>
  <c r="I118" i="6" s="1"/>
  <c r="K118" i="6" l="1"/>
  <c r="L118" i="6" s="1"/>
  <c r="P118" i="6" s="1"/>
  <c r="N34" i="1" s="1"/>
  <c r="M118" i="6" l="1"/>
  <c r="I119" i="6" s="1"/>
  <c r="O118" i="6"/>
  <c r="N35" i="1" s="1"/>
  <c r="N36" i="1" s="1"/>
  <c r="N59" i="1" s="1"/>
  <c r="K119" i="6" l="1"/>
  <c r="L119" i="6" s="1"/>
  <c r="M119" i="6" s="1"/>
  <c r="N39" i="1"/>
  <c r="N42" i="1" s="1"/>
  <c r="N52" i="1" l="1"/>
  <c r="N53" i="1"/>
  <c r="N47" i="1"/>
  <c r="N49" i="1" s="1"/>
  <c r="I120" i="6"/>
  <c r="K120" i="6"/>
  <c r="L120" i="6" l="1"/>
  <c r="M120" i="6" s="1"/>
  <c r="K121" i="6" l="1"/>
  <c r="I121" i="6"/>
  <c r="L121" i="6" l="1"/>
  <c r="M121" i="6" s="1"/>
  <c r="K122" i="6" l="1"/>
  <c r="I122" i="6"/>
  <c r="L122" i="6" l="1"/>
  <c r="M122" i="6" s="1"/>
  <c r="I123" i="6" l="1"/>
  <c r="K123" i="6"/>
  <c r="L123" i="6" l="1"/>
  <c r="M123" i="6" s="1"/>
  <c r="I124" i="6" l="1"/>
  <c r="K124" i="6"/>
  <c r="L124" i="6" s="1"/>
  <c r="M124" i="6" l="1"/>
  <c r="K125" i="6" l="1"/>
  <c r="L125" i="6" s="1"/>
  <c r="I125" i="6"/>
  <c r="M125" i="6" l="1"/>
  <c r="K126" i="6" s="1"/>
  <c r="L126" i="6" s="1"/>
  <c r="I126" i="6" l="1"/>
  <c r="M126" i="6" s="1"/>
  <c r="I127" i="6" s="1"/>
  <c r="K127" i="6" l="1"/>
  <c r="L127" i="6" s="1"/>
  <c r="M127" i="6" s="1"/>
  <c r="K128" i="6" s="1"/>
  <c r="L128" i="6" s="1"/>
  <c r="I128" i="6" l="1"/>
  <c r="M128" i="6" s="1"/>
  <c r="K129" i="6" l="1"/>
  <c r="L129" i="6" s="1"/>
  <c r="I129" i="6"/>
  <c r="M129" i="6" l="1"/>
  <c r="I130" i="6" s="1"/>
  <c r="K130" i="6" l="1"/>
  <c r="L130" i="6" s="1"/>
  <c r="P130" i="6" l="1"/>
  <c r="O34" i="1" s="1"/>
  <c r="M130" i="6"/>
  <c r="K131" i="6" s="1"/>
  <c r="O130" i="6"/>
  <c r="O35" i="1" s="1"/>
  <c r="I131" i="6" l="1"/>
  <c r="O36" i="1"/>
  <c r="O59" i="1" s="1"/>
  <c r="L131" i="6"/>
  <c r="M131" i="6" l="1"/>
  <c r="K132" i="6" s="1"/>
  <c r="O39" i="1"/>
  <c r="I132" i="6" l="1"/>
  <c r="O52" i="1"/>
  <c r="O53" i="1"/>
  <c r="O42" i="1"/>
  <c r="H8" i="2" s="1"/>
  <c r="E8" i="8" s="1"/>
  <c r="O47" i="1"/>
  <c r="O49" i="1" s="1"/>
  <c r="L132" i="6"/>
  <c r="M132" i="6" l="1"/>
  <c r="K133" i="6" s="1"/>
  <c r="I133" i="6" l="1"/>
  <c r="L133" i="6"/>
  <c r="M133" i="6" l="1"/>
  <c r="I134" i="6" s="1"/>
  <c r="K134" i="6" l="1"/>
  <c r="L134" i="6" s="1"/>
  <c r="M134" i="6" s="1"/>
  <c r="I135" i="6" l="1"/>
  <c r="K135" i="6"/>
  <c r="L135" i="6" l="1"/>
  <c r="M135" i="6" s="1"/>
  <c r="I136" i="6" l="1"/>
  <c r="K136" i="6"/>
  <c r="L136" i="6" s="1"/>
  <c r="M136" i="6" l="1"/>
  <c r="K137" i="6" l="1"/>
  <c r="L137" i="6" s="1"/>
  <c r="I137" i="6"/>
  <c r="M137" i="6" l="1"/>
  <c r="K138" i="6" s="1"/>
  <c r="L138" i="6" s="1"/>
  <c r="I138" i="6" l="1"/>
  <c r="M138" i="6" s="1"/>
  <c r="I139" i="6" l="1"/>
  <c r="K139" i="6"/>
  <c r="L139" i="6" s="1"/>
  <c r="M139" i="6" l="1"/>
  <c r="K140" i="6" s="1"/>
  <c r="L140" i="6" s="1"/>
  <c r="I140" i="6" l="1"/>
  <c r="M140" i="6" s="1"/>
  <c r="I141" i="6" s="1"/>
  <c r="K141" i="6" l="1"/>
  <c r="L141" i="6" s="1"/>
  <c r="M141" i="6" s="1"/>
  <c r="K142" i="6" l="1"/>
  <c r="I142" i="6"/>
  <c r="L142" i="6" l="1"/>
  <c r="P142" i="6" s="1"/>
  <c r="O142" i="6"/>
  <c r="M142" i="6" l="1"/>
  <c r="K143" i="6" l="1"/>
  <c r="I143" i="6"/>
  <c r="L143" i="6" l="1"/>
  <c r="M143" i="6" s="1"/>
  <c r="K144" i="6" l="1"/>
  <c r="I144" i="6"/>
  <c r="L144" i="6" l="1"/>
  <c r="M144" i="6" s="1"/>
  <c r="I145" i="6" l="1"/>
  <c r="K145" i="6"/>
  <c r="L145" i="6" l="1"/>
  <c r="M145" i="6" s="1"/>
  <c r="K146" i="6" l="1"/>
  <c r="I146" i="6"/>
  <c r="L146" i="6" l="1"/>
  <c r="M146" i="6" s="1"/>
  <c r="K147" i="6" l="1"/>
  <c r="I147" i="6"/>
  <c r="L147" i="6" l="1"/>
  <c r="M147" i="6" s="1"/>
  <c r="I148" i="6" l="1"/>
  <c r="K148" i="6"/>
  <c r="L148" i="6" s="1"/>
  <c r="M148" i="6" l="1"/>
  <c r="I149" i="6" l="1"/>
  <c r="K149" i="6"/>
  <c r="L149" i="6" s="1"/>
  <c r="M149" i="6" l="1"/>
  <c r="I150" i="6" l="1"/>
  <c r="K150" i="6"/>
  <c r="L150" i="6" s="1"/>
  <c r="M150" i="6" l="1"/>
  <c r="K151" i="6" l="1"/>
  <c r="L151" i="6" s="1"/>
  <c r="I151" i="6"/>
  <c r="M151" i="6" l="1"/>
  <c r="K152" i="6" s="1"/>
  <c r="L152" i="6" s="1"/>
  <c r="I152" i="6" l="1"/>
  <c r="M152" i="6" s="1"/>
  <c r="K153" i="6" l="1"/>
  <c r="L153" i="6" s="1"/>
  <c r="I153" i="6"/>
  <c r="M153" i="6" l="1"/>
  <c r="I154" i="6" l="1"/>
  <c r="K154" i="6"/>
  <c r="L154" i="6" l="1"/>
  <c r="O154" i="6"/>
  <c r="P154" i="6" l="1"/>
  <c r="M154" i="6"/>
  <c r="I155" i="6" l="1"/>
  <c r="K155" i="6"/>
  <c r="L155" i="6" s="1"/>
  <c r="M155" i="6" l="1"/>
  <c r="I156" i="6" s="1"/>
  <c r="K156" i="6" l="1"/>
  <c r="L156" i="6" s="1"/>
  <c r="M156" i="6" s="1"/>
  <c r="I157" i="6" s="1"/>
  <c r="K157" i="6" l="1"/>
  <c r="L157" i="6" s="1"/>
  <c r="M157" i="6" s="1"/>
  <c r="I158" i="6" s="1"/>
  <c r="K158" i="6" l="1"/>
  <c r="L158" i="6" s="1"/>
  <c r="M158" i="6" s="1"/>
  <c r="I159" i="6" l="1"/>
  <c r="K159" i="6"/>
  <c r="L159" i="6" l="1"/>
  <c r="M159" i="6" s="1"/>
  <c r="K160" i="6" l="1"/>
  <c r="L160" i="6" s="1"/>
  <c r="I160" i="6"/>
  <c r="M160" i="6" l="1"/>
  <c r="I161" i="6" s="1"/>
  <c r="K161" i="6" l="1"/>
  <c r="L161" i="6" s="1"/>
  <c r="M161" i="6" s="1"/>
  <c r="K162" i="6" l="1"/>
  <c r="L162" i="6" s="1"/>
  <c r="I162" i="6"/>
  <c r="M162" i="6" l="1"/>
  <c r="K163" i="6" s="1"/>
  <c r="L163" i="6" s="1"/>
  <c r="I163" i="6" l="1"/>
  <c r="M163" i="6" s="1"/>
  <c r="K164" i="6" l="1"/>
  <c r="L164" i="6" s="1"/>
  <c r="I164" i="6"/>
  <c r="M164" i="6" l="1"/>
  <c r="I165" i="6" s="1"/>
  <c r="K165" i="6" l="1"/>
  <c r="L165" i="6" s="1"/>
  <c r="M165" i="6" s="1"/>
  <c r="I166" i="6" l="1"/>
  <c r="K166" i="6"/>
  <c r="L166" i="6" l="1"/>
  <c r="P166" i="6" s="1"/>
  <c r="O166" i="6"/>
  <c r="M166" i="6" l="1"/>
  <c r="I167" i="6" s="1"/>
  <c r="K167" i="6" l="1"/>
  <c r="L167" i="6" s="1"/>
  <c r="M167" i="6" s="1"/>
  <c r="K168" i="6" l="1"/>
  <c r="I168" i="6"/>
  <c r="L168" i="6" l="1"/>
  <c r="M168" i="6" s="1"/>
  <c r="K169" i="6" l="1"/>
  <c r="I169" i="6"/>
  <c r="L169" i="6" l="1"/>
  <c r="M169" i="6" s="1"/>
  <c r="K170" i="6" l="1"/>
  <c r="I170" i="6"/>
  <c r="L170" i="6" l="1"/>
  <c r="M170" i="6" s="1"/>
  <c r="I171" i="6" l="1"/>
  <c r="K171" i="6"/>
  <c r="L171" i="6" l="1"/>
  <c r="M171" i="6" s="1"/>
  <c r="K172" i="6" l="1"/>
  <c r="L172" i="6" s="1"/>
  <c r="I172" i="6"/>
  <c r="M172" i="6" l="1"/>
  <c r="I173" i="6" s="1"/>
  <c r="K173" i="6" l="1"/>
  <c r="L173" i="6" s="1"/>
  <c r="M173" i="6" s="1"/>
  <c r="K174" i="6" l="1"/>
  <c r="L174" i="6" s="1"/>
  <c r="I174" i="6"/>
  <c r="M174" i="6" l="1"/>
  <c r="I175" i="6" s="1"/>
  <c r="K175" i="6" l="1"/>
  <c r="L175" i="6" s="1"/>
  <c r="M175" i="6" s="1"/>
  <c r="I176" i="6" l="1"/>
  <c r="K176" i="6"/>
  <c r="L176" i="6" s="1"/>
  <c r="M176" i="6" l="1"/>
  <c r="K177" i="6" l="1"/>
  <c r="L177" i="6" s="1"/>
  <c r="I177" i="6"/>
  <c r="M177" i="6" l="1"/>
  <c r="K178" i="6" s="1"/>
  <c r="I178" i="6" l="1"/>
  <c r="L178" i="6"/>
  <c r="P178" i="6" s="1"/>
  <c r="O178" i="6"/>
  <c r="M178" i="6" l="1"/>
  <c r="K179" i="6" l="1"/>
  <c r="I179" i="6"/>
  <c r="L179" i="6" l="1"/>
  <c r="M179" i="6" s="1"/>
  <c r="I180" i="6" l="1"/>
  <c r="K180" i="6"/>
  <c r="L180" i="6" l="1"/>
  <c r="M180" i="6" s="1"/>
  <c r="K181" i="6" l="1"/>
  <c r="I181" i="6"/>
  <c r="L181" i="6" l="1"/>
  <c r="M181" i="6" s="1"/>
  <c r="I182" i="6" l="1"/>
  <c r="K182" i="6"/>
  <c r="L182" i="6" l="1"/>
  <c r="M182" i="6" s="1"/>
  <c r="K183" i="6" l="1"/>
  <c r="I183" i="6"/>
  <c r="L183" i="6" l="1"/>
  <c r="M183" i="6" s="1"/>
  <c r="K184" i="6" l="1"/>
  <c r="L184" i="6" s="1"/>
  <c r="I184" i="6"/>
  <c r="M184" i="6" l="1"/>
  <c r="K185" i="6" s="1"/>
  <c r="L185" i="6" s="1"/>
  <c r="I185" i="6" l="1"/>
  <c r="M185" i="6" s="1"/>
  <c r="I186" i="6" s="1"/>
  <c r="K186" i="6" l="1"/>
  <c r="L186" i="6" s="1"/>
  <c r="M186" i="6" s="1"/>
  <c r="I187" i="6" l="1"/>
  <c r="K187" i="6"/>
  <c r="L187" i="6" s="1"/>
  <c r="M187" i="6" l="1"/>
  <c r="K188" i="6" l="1"/>
  <c r="L188" i="6" s="1"/>
  <c r="I188" i="6"/>
  <c r="M188" i="6" l="1"/>
  <c r="I189" i="6" s="1"/>
  <c r="K189" i="6" l="1"/>
  <c r="L189" i="6" s="1"/>
  <c r="M189" i="6" s="1"/>
  <c r="I190" i="6" l="1"/>
  <c r="K190" i="6"/>
  <c r="L190" i="6" l="1"/>
  <c r="P190" i="6" s="1"/>
  <c r="O190" i="6"/>
  <c r="M190" i="6" l="1"/>
  <c r="I191" i="6" s="1"/>
  <c r="K191" i="6" l="1"/>
  <c r="L191" i="6" s="1"/>
  <c r="M191" i="6" s="1"/>
  <c r="I192" i="6" l="1"/>
  <c r="K192" i="6"/>
  <c r="L192" i="6" l="1"/>
  <c r="M192" i="6" s="1"/>
  <c r="I193" i="6" l="1"/>
  <c r="K193" i="6"/>
  <c r="L193" i="6" l="1"/>
  <c r="M193" i="6" s="1"/>
  <c r="K194" i="6" l="1"/>
  <c r="I194" i="6"/>
  <c r="L194" i="6" l="1"/>
  <c r="M194" i="6" s="1"/>
  <c r="I195" i="6" l="1"/>
  <c r="K195" i="6"/>
  <c r="L195" i="6" l="1"/>
  <c r="M195" i="6" s="1"/>
  <c r="I196" i="6" l="1"/>
  <c r="K196" i="6"/>
  <c r="L196" i="6" s="1"/>
  <c r="M196" i="6" l="1"/>
  <c r="K197" i="6" l="1"/>
  <c r="L197" i="6" s="1"/>
  <c r="I197" i="6"/>
  <c r="M197" i="6" l="1"/>
  <c r="K198" i="6" s="1"/>
  <c r="L198" i="6" s="1"/>
  <c r="I198" i="6" l="1"/>
  <c r="M198" i="6" s="1"/>
  <c r="I199" i="6" s="1"/>
  <c r="K199" i="6" l="1"/>
  <c r="L199" i="6" s="1"/>
  <c r="M199" i="6" s="1"/>
  <c r="I200" i="6" l="1"/>
  <c r="K200" i="6"/>
  <c r="L200" i="6" s="1"/>
  <c r="M200" i="6" l="1"/>
  <c r="I201" i="6" l="1"/>
  <c r="K201" i="6"/>
  <c r="L201" i="6" s="1"/>
  <c r="M201" i="6" l="1"/>
  <c r="I202" i="6" l="1"/>
  <c r="K202" i="6"/>
  <c r="L202" i="6" l="1"/>
  <c r="P202" i="6" s="1"/>
  <c r="O202" i="6"/>
  <c r="M202" i="6" l="1"/>
  <c r="I203" i="6" s="1"/>
  <c r="K203" i="6" l="1"/>
  <c r="L203" i="6" s="1"/>
  <c r="M203" i="6" s="1"/>
  <c r="I204" i="6" l="1"/>
  <c r="K204" i="6"/>
  <c r="L204" i="6" l="1"/>
  <c r="M204" i="6" s="1"/>
  <c r="I205" i="6" l="1"/>
  <c r="K205" i="6"/>
  <c r="L205" i="6" l="1"/>
  <c r="M205" i="6" s="1"/>
  <c r="I206" i="6" l="1"/>
  <c r="K206" i="6"/>
  <c r="L206" i="6" l="1"/>
  <c r="M206" i="6" s="1"/>
  <c r="I207" i="6" l="1"/>
  <c r="K207" i="6"/>
  <c r="L207" i="6" l="1"/>
  <c r="M207" i="6" s="1"/>
  <c r="I208" i="6" l="1"/>
  <c r="K208" i="6"/>
  <c r="L208" i="6" s="1"/>
  <c r="M208" i="6" l="1"/>
  <c r="K209" i="6" l="1"/>
  <c r="L209" i="6" s="1"/>
  <c r="I209" i="6"/>
  <c r="M209" i="6" l="1"/>
  <c r="K210" i="6" s="1"/>
  <c r="L210" i="6" s="1"/>
  <c r="I210" i="6" l="1"/>
  <c r="M210" i="6" s="1"/>
  <c r="K211" i="6" s="1"/>
  <c r="L211" i="6" s="1"/>
  <c r="I211" i="6" l="1"/>
  <c r="M211" i="6" s="1"/>
  <c r="K212" i="6" l="1"/>
  <c r="L212" i="6" s="1"/>
  <c r="I212" i="6"/>
  <c r="M212" i="6" l="1"/>
  <c r="I213" i="6" s="1"/>
  <c r="K213" i="6" l="1"/>
  <c r="L213" i="6" s="1"/>
  <c r="M213" i="6" s="1"/>
  <c r="I214" i="6" s="1"/>
  <c r="K214" i="6" l="1"/>
  <c r="L214" i="6" s="1"/>
  <c r="P214" i="6" s="1"/>
  <c r="O214" i="6" l="1"/>
  <c r="M214" i="6"/>
  <c r="I215" i="6" l="1"/>
  <c r="K215" i="6"/>
  <c r="L215" i="6" l="1"/>
  <c r="M215" i="6" s="1"/>
  <c r="K216" i="6" l="1"/>
  <c r="I216" i="6"/>
  <c r="L216" i="6" l="1"/>
  <c r="M216" i="6" s="1"/>
  <c r="K217" i="6" l="1"/>
  <c r="I217" i="6"/>
  <c r="L217" i="6" l="1"/>
  <c r="M217" i="6" s="1"/>
  <c r="I218" i="6" l="1"/>
  <c r="K218" i="6"/>
  <c r="L218" i="6" l="1"/>
  <c r="M218" i="6" s="1"/>
  <c r="I219" i="6" l="1"/>
  <c r="K219" i="6"/>
  <c r="L219" i="6" l="1"/>
  <c r="M219" i="6" s="1"/>
  <c r="K220" i="6" l="1"/>
  <c r="L220" i="6" s="1"/>
  <c r="I220" i="6"/>
  <c r="M220" i="6" l="1"/>
  <c r="I221" i="6" s="1"/>
  <c r="K221" i="6" l="1"/>
  <c r="L221" i="6" s="1"/>
  <c r="M221" i="6" s="1"/>
  <c r="I222" i="6" l="1"/>
  <c r="K222" i="6"/>
  <c r="L222" i="6" s="1"/>
  <c r="M222" i="6" l="1"/>
  <c r="I223" i="6" l="1"/>
  <c r="K223" i="6"/>
  <c r="L223" i="6" s="1"/>
  <c r="M223" i="6" l="1"/>
  <c r="K224" i="6" l="1"/>
  <c r="L224" i="6" s="1"/>
  <c r="I224" i="6"/>
  <c r="M224" i="6" l="1"/>
  <c r="K225" i="6" s="1"/>
  <c r="L225" i="6" s="1"/>
  <c r="I225" i="6" l="1"/>
  <c r="M225" i="6" s="1"/>
  <c r="I226" i="6" l="1"/>
  <c r="K226" i="6"/>
  <c r="L226" i="6" s="1"/>
  <c r="P226" i="6" s="1"/>
  <c r="O226" i="6" l="1"/>
  <c r="M226" i="6"/>
  <c r="K227" i="6" s="1"/>
  <c r="I227" i="6" l="1"/>
  <c r="L227" i="6"/>
  <c r="M227" i="6" l="1"/>
  <c r="K228" i="6" s="1"/>
  <c r="I228" i="6" l="1"/>
  <c r="L228" i="6"/>
  <c r="M228" i="6" l="1"/>
  <c r="I229" i="6" s="1"/>
  <c r="K229" i="6" l="1"/>
  <c r="L229" i="6" s="1"/>
  <c r="M229" i="6" s="1"/>
  <c r="I230" i="6" l="1"/>
  <c r="K230" i="6"/>
  <c r="L230" i="6" l="1"/>
  <c r="M230" i="6" s="1"/>
  <c r="I231" i="6" l="1"/>
  <c r="K231" i="6"/>
  <c r="L231" i="6" l="1"/>
  <c r="M231" i="6" s="1"/>
  <c r="K232" i="6" l="1"/>
  <c r="L232" i="6" s="1"/>
  <c r="I232" i="6"/>
  <c r="M232" i="6" l="1"/>
  <c r="I233" i="6" s="1"/>
  <c r="K233" i="6" l="1"/>
  <c r="L233" i="6" s="1"/>
  <c r="M233" i="6" s="1"/>
  <c r="K234" i="6" l="1"/>
  <c r="L234" i="6" s="1"/>
  <c r="I234" i="6"/>
  <c r="M234" i="6" l="1"/>
  <c r="K235" i="6" l="1"/>
  <c r="L235" i="6" s="1"/>
  <c r="I235" i="6"/>
  <c r="M235" i="6" l="1"/>
  <c r="I236" i="6" s="1"/>
  <c r="K236" i="6" l="1"/>
  <c r="L236" i="6" s="1"/>
  <c r="M236" i="6" s="1"/>
  <c r="I237" i="6" l="1"/>
  <c r="K237" i="6"/>
  <c r="L237" i="6" s="1"/>
  <c r="M237" i="6" l="1"/>
  <c r="I238" i="6" l="1"/>
  <c r="K238" i="6"/>
  <c r="L238" i="6" l="1"/>
  <c r="P238" i="6" s="1"/>
  <c r="O238" i="6"/>
  <c r="M238" i="6" l="1"/>
  <c r="K239" i="6" s="1"/>
  <c r="I239" i="6" l="1"/>
  <c r="L239" i="6"/>
  <c r="M239" i="6" l="1"/>
  <c r="I240" i="6" s="1"/>
  <c r="K240" i="6" l="1"/>
  <c r="L240" i="6" s="1"/>
  <c r="M240" i="6" s="1"/>
  <c r="I241" i="6" l="1"/>
  <c r="K241" i="6"/>
  <c r="L241" i="6" l="1"/>
  <c r="M241" i="6" s="1"/>
  <c r="I242" i="6" l="1"/>
  <c r="K242" i="6"/>
  <c r="L242" i="6" l="1"/>
  <c r="M242" i="6" s="1"/>
  <c r="K243" i="6" l="1"/>
  <c r="I243" i="6"/>
  <c r="L243" i="6" l="1"/>
  <c r="M243" i="6" s="1"/>
  <c r="K244" i="6" l="1"/>
  <c r="L244" i="6" s="1"/>
  <c r="I244" i="6"/>
  <c r="M244" i="6" l="1"/>
  <c r="K245" i="6" s="1"/>
  <c r="L245" i="6" s="1"/>
  <c r="I245" i="6" l="1"/>
  <c r="M245" i="6" s="1"/>
  <c r="I246" i="6" l="1"/>
  <c r="K246" i="6"/>
  <c r="L246" i="6" s="1"/>
  <c r="M246" i="6" l="1"/>
  <c r="K247" i="6" s="1"/>
  <c r="L247" i="6" s="1"/>
  <c r="I247" i="6" l="1"/>
  <c r="M247" i="6" s="1"/>
  <c r="K248" i="6" l="1"/>
  <c r="L248" i="6" s="1"/>
  <c r="I248" i="6"/>
  <c r="M248" i="6" l="1"/>
  <c r="K249" i="6" s="1"/>
  <c r="L249" i="6" s="1"/>
  <c r="I249" i="6" l="1"/>
  <c r="M249" i="6" s="1"/>
  <c r="K250" i="6" l="1"/>
  <c r="I250" i="6"/>
  <c r="L250" i="6" l="1"/>
  <c r="P250" i="6" s="1"/>
  <c r="O250" i="6"/>
  <c r="M250" i="6" l="1"/>
</calcChain>
</file>

<file path=xl/sharedStrings.xml><?xml version="1.0" encoding="utf-8"?>
<sst xmlns="http://schemas.openxmlformats.org/spreadsheetml/2006/main" count="404" uniqueCount="267">
  <si>
    <t>DRAFT</t>
  </si>
  <si>
    <t>Cash Flow Pro Forma</t>
  </si>
  <si>
    <t>Annual Cash Flows</t>
  </si>
  <si>
    <t>Property Income</t>
  </si>
  <si>
    <t>Utility Bill Back</t>
  </si>
  <si>
    <t>Effective Gross Income (EGI)</t>
  </si>
  <si>
    <t>Operating Expenses &amp; NOI</t>
  </si>
  <si>
    <t>Total Operating Expenses (OPEX)</t>
  </si>
  <si>
    <t>Net Operating Income (NOI)</t>
  </si>
  <si>
    <t>Debt Service</t>
  </si>
  <si>
    <t>Principal</t>
  </si>
  <si>
    <t>Interest</t>
  </si>
  <si>
    <t>Total Debt Service</t>
  </si>
  <si>
    <t>Net Cash Flow after Debt Service</t>
  </si>
  <si>
    <t>Cumulative Cash Flow</t>
  </si>
  <si>
    <t>Partner Preference</t>
  </si>
  <si>
    <t>Distribution of Excess Capital</t>
  </si>
  <si>
    <t>Purchase Capital Remaining</t>
  </si>
  <si>
    <t>Net Cash Flow After Debt Service &amp; Partner Preference</t>
  </si>
  <si>
    <t>Cumulative Cash Flow After Preference</t>
  </si>
  <si>
    <t>Analysis Metrics</t>
  </si>
  <si>
    <t>Cash on Cash Return (ROI)</t>
  </si>
  <si>
    <t>Return Including Principle Pay Down</t>
  </si>
  <si>
    <t>Cash Flow Profit Margin</t>
  </si>
  <si>
    <t>Cap Rate</t>
  </si>
  <si>
    <t>Operating Expense Ratio</t>
  </si>
  <si>
    <t>Break Even Ratio</t>
  </si>
  <si>
    <t>Interest Carry Ratio</t>
  </si>
  <si>
    <t>Debt Service Coverage Ratio (DSCR)</t>
  </si>
  <si>
    <t>Notes:</t>
  </si>
  <si>
    <t>Dashboard Control</t>
  </si>
  <si>
    <t>Property Information</t>
  </si>
  <si>
    <t>Executive Summary</t>
  </si>
  <si>
    <t>Financing Strategy</t>
  </si>
  <si>
    <t>Relevant Information</t>
  </si>
  <si>
    <t>Address</t>
  </si>
  <si>
    <t>Annual Cash on Cash ROI (YR1)</t>
  </si>
  <si>
    <t>Down Payment %</t>
  </si>
  <si>
    <t>Year Built</t>
  </si>
  <si>
    <t>County</t>
  </si>
  <si>
    <t>Berkshire</t>
  </si>
  <si>
    <t>Annual Cash Flow (YR1)</t>
  </si>
  <si>
    <t xml:space="preserve">Interest Rate (annual) </t>
  </si>
  <si>
    <t>Water/Sewer</t>
  </si>
  <si>
    <t>Acres</t>
  </si>
  <si>
    <t>Total Cash Flow (10 YR Hold)</t>
  </si>
  <si>
    <t>Amortization Term (YRS)</t>
  </si>
  <si>
    <t>Heat</t>
  </si>
  <si>
    <t>Property Cap Rate (YR3)</t>
  </si>
  <si>
    <t>IO (Months)</t>
  </si>
  <si>
    <t>Assessed Value</t>
  </si>
  <si>
    <t>Site Size</t>
  </si>
  <si>
    <t>Net Operating Income (YR 3)</t>
  </si>
  <si>
    <t>Schedule of Capital Investment</t>
  </si>
  <si>
    <t>Amenities</t>
  </si>
  <si>
    <t>Property Type</t>
  </si>
  <si>
    <t>IRR (3 YR Hold)</t>
  </si>
  <si>
    <t>YR1</t>
  </si>
  <si>
    <t>Road Comp</t>
  </si>
  <si>
    <t xml:space="preserve">Zoning </t>
  </si>
  <si>
    <t>Commercial</t>
  </si>
  <si>
    <t>ROI (3YR Hold)</t>
  </si>
  <si>
    <t>YR2</t>
  </si>
  <si>
    <t>Metro name</t>
  </si>
  <si>
    <t>Building Size</t>
  </si>
  <si>
    <t>Metro Population</t>
  </si>
  <si>
    <t>Stories</t>
  </si>
  <si>
    <t>Exit Strategy Assumptions &amp; Financial Valuation</t>
  </si>
  <si>
    <t>Capital Stack</t>
  </si>
  <si>
    <t>Median Household Income</t>
  </si>
  <si>
    <t>Elevators</t>
  </si>
  <si>
    <t>Target Exit Cap Rate</t>
  </si>
  <si>
    <t>Total Acquisition, Construction</t>
  </si>
  <si>
    <t>2 Br Rental</t>
  </si>
  <si>
    <t>Class</t>
  </si>
  <si>
    <t>Exit Closing Costs Rate</t>
  </si>
  <si>
    <t>Total Closing</t>
  </si>
  <si>
    <t>Sex Offenders</t>
  </si>
  <si>
    <t>Discount Rate for NPV</t>
  </si>
  <si>
    <t>Mortgage</t>
  </si>
  <si>
    <t>Crime Index</t>
  </si>
  <si>
    <t>Total Partner Equity</t>
  </si>
  <si>
    <t>Parking Spots</t>
  </si>
  <si>
    <t>Distance</t>
  </si>
  <si>
    <t>Rent Revenue Assumptions</t>
  </si>
  <si>
    <t>Operating Expense Assumptions</t>
  </si>
  <si>
    <t>Property Acquisition</t>
  </si>
  <si>
    <t>Nearest Significant Airport</t>
  </si>
  <si>
    <t xml:space="preserve">Average Lease Length </t>
  </si>
  <si>
    <t>Acquisition Price</t>
  </si>
  <si>
    <t>Total Potential Revenue Yr1</t>
  </si>
  <si>
    <t>Insurance</t>
  </si>
  <si>
    <t>Next Tax Reassessment</t>
  </si>
  <si>
    <t>1st Floor Revenue</t>
  </si>
  <si>
    <t>Market Rent</t>
  </si>
  <si>
    <t>2nd Floor Revenue</t>
  </si>
  <si>
    <t>Price Per Pad</t>
  </si>
  <si>
    <t>3rd Floor Revenue</t>
  </si>
  <si>
    <t>Water &amp; Sewer</t>
  </si>
  <si>
    <t>Closing Costs</t>
  </si>
  <si>
    <t>Top 5 Employers</t>
  </si>
  <si>
    <t>Total Occupied Revenue</t>
  </si>
  <si>
    <t>Gas Heat</t>
  </si>
  <si>
    <t>Bank Points</t>
  </si>
  <si>
    <t>Trash</t>
  </si>
  <si>
    <t>Attorney Fees</t>
  </si>
  <si>
    <t>Rented SF</t>
  </si>
  <si>
    <t>Electric</t>
  </si>
  <si>
    <t>Survey</t>
  </si>
  <si>
    <t>Vacant SF</t>
  </si>
  <si>
    <t xml:space="preserve">Title Insurance </t>
  </si>
  <si>
    <t>Occupancy</t>
  </si>
  <si>
    <t>Advertising</t>
  </si>
  <si>
    <t>Bank Fees</t>
  </si>
  <si>
    <t>Elementary School</t>
  </si>
  <si>
    <t>Property Management Rate</t>
  </si>
  <si>
    <t>Permits &amp; Fees</t>
  </si>
  <si>
    <t>Middle School</t>
  </si>
  <si>
    <t>Asset Management Fee</t>
  </si>
  <si>
    <t>Miscellaneous</t>
  </si>
  <si>
    <t>High School</t>
  </si>
  <si>
    <t>Repair &amp; Maintenance</t>
  </si>
  <si>
    <t>Acquisition Date</t>
  </si>
  <si>
    <t>Legal &amp; Accounting</t>
  </si>
  <si>
    <t>Inflation (Annual)</t>
  </si>
  <si>
    <t>Teton Deal Fee</t>
  </si>
  <si>
    <t xml:space="preserve">Partner Annual Preference </t>
  </si>
  <si>
    <t>Capital Account</t>
  </si>
  <si>
    <t>Total Closing Costs</t>
  </si>
  <si>
    <t>Partner Equity (Equity &amp; Closing Costs)</t>
  </si>
  <si>
    <t>Rent Roll</t>
  </si>
  <si>
    <t>Periods</t>
  </si>
  <si>
    <t>Years</t>
  </si>
  <si>
    <t>Code</t>
  </si>
  <si>
    <t>First Floor</t>
  </si>
  <si>
    <t>O</t>
  </si>
  <si>
    <t>V</t>
  </si>
  <si>
    <t>Second Floor</t>
  </si>
  <si>
    <t>Third Floor</t>
  </si>
  <si>
    <t>Total Revenue</t>
  </si>
  <si>
    <t>Total Rent</t>
  </si>
  <si>
    <t>Rent Roll Summary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</si>
  <si>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</si>
  <si>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</si>
  <si>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</si>
  <si>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</si>
  <si>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</si>
  <si>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</si>
  <si>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</si>
  <si>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</si>
  <si>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</si>
  <si>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</si>
  <si>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 xml:space="preserve">Lease End </t>
  </si>
  <si>
    <t>Rented Sqft.</t>
  </si>
  <si>
    <t>Vacant Sqft.</t>
  </si>
  <si>
    <t>Total</t>
  </si>
  <si>
    <t>Total SqFt</t>
  </si>
  <si>
    <t>SQ Ft Occ</t>
  </si>
  <si>
    <t>Avg. SqFt</t>
  </si>
  <si>
    <t>Vacancy</t>
  </si>
  <si>
    <t>Sources &amp; Uses</t>
  </si>
  <si>
    <t>Sources</t>
  </si>
  <si>
    <t xml:space="preserve">Bank Debt </t>
  </si>
  <si>
    <t>Equity</t>
  </si>
  <si>
    <t>Uses</t>
  </si>
  <si>
    <t>Purchase Price</t>
  </si>
  <si>
    <t>Improvements</t>
  </si>
  <si>
    <t>Contingency</t>
  </si>
  <si>
    <t>Total Improvements</t>
  </si>
  <si>
    <t>Purchase Price &amp; Improvements</t>
  </si>
  <si>
    <t>Total Acquisition, Improvements, Closing Costs</t>
  </si>
  <si>
    <t>Sources of Capital</t>
  </si>
  <si>
    <t>Purchase</t>
  </si>
  <si>
    <t>Total Acquisition Costs</t>
  </si>
  <si>
    <t xml:space="preserve">Mortgage </t>
  </si>
  <si>
    <t>Amortization Schedule</t>
  </si>
  <si>
    <t>PV</t>
  </si>
  <si>
    <t>Interest only</t>
  </si>
  <si>
    <t>Rate</t>
  </si>
  <si>
    <t>How long</t>
  </si>
  <si>
    <t>Financing Required</t>
  </si>
  <si>
    <t>NPER</t>
  </si>
  <si>
    <t>Loan to Value</t>
  </si>
  <si>
    <t>Month</t>
  </si>
  <si>
    <t>Begin Balance</t>
  </si>
  <si>
    <t>PMT</t>
  </si>
  <si>
    <t>End Balance</t>
  </si>
  <si>
    <t>Mortgage Required</t>
  </si>
  <si>
    <t>Interest Rate (Annual)</t>
  </si>
  <si>
    <t>Amortization Term (Years)</t>
  </si>
  <si>
    <t>Monthly Debt Service Payment</t>
  </si>
  <si>
    <t>Total Interest</t>
  </si>
  <si>
    <t>Total Principal</t>
  </si>
  <si>
    <t>Total PMT</t>
  </si>
  <si>
    <t>Exit Stops</t>
  </si>
  <si>
    <t>Net Operating Income Method</t>
  </si>
  <si>
    <t>NOI</t>
  </si>
  <si>
    <t>Property Value</t>
  </si>
  <si>
    <t>Exit Closing Costs</t>
  </si>
  <si>
    <t>Exit Proceeds</t>
  </si>
  <si>
    <t>Net Exit Proceeds</t>
  </si>
  <si>
    <t>Property Exit Proceeds</t>
  </si>
  <si>
    <t>Capital Account Disbursement</t>
  </si>
  <si>
    <t>Mortgage Balance Payoff</t>
  </si>
  <si>
    <t>Gross Proceeds</t>
  </si>
  <si>
    <t>Return of Remaining Purchase Capital</t>
  </si>
  <si>
    <t>Carried Interest</t>
  </si>
  <si>
    <t>Net Exit Proceeds to Investors in excess of contribution</t>
  </si>
  <si>
    <t>Preferred Return paid to date of sale</t>
  </si>
  <si>
    <t>Cumulative Cash Flow in Excess of Purchase Capital</t>
  </si>
  <si>
    <t>Return on Investment</t>
  </si>
  <si>
    <t>Cumulative Cash Flow on Investment Net of Fees</t>
  </si>
  <si>
    <t>ROI</t>
  </si>
  <si>
    <t>IRR</t>
  </si>
  <si>
    <t>Purchase Capital</t>
  </si>
  <si>
    <t>Partner Interest</t>
  </si>
  <si>
    <t>Cash Flow to Investor</t>
  </si>
  <si>
    <t>Cumulative Cash Flow to Investor</t>
  </si>
  <si>
    <t>IRR Calculator</t>
  </si>
  <si>
    <t>Date</t>
  </si>
  <si>
    <t>Key Property Metrics</t>
  </si>
  <si>
    <t>Net Operating Income (Year 3)</t>
  </si>
  <si>
    <t>IRR (5 Year Hold)</t>
  </si>
  <si>
    <t>ROI (5 Year Hold)</t>
  </si>
  <si>
    <t>Cap Rate (Year 3)</t>
  </si>
  <si>
    <t>Total Cash Flow (10 Year Hold)</t>
  </si>
  <si>
    <t>Interest Only</t>
  </si>
  <si>
    <t>Total Acquisition &amp; Improvements</t>
  </si>
  <si>
    <t>Albany</t>
  </si>
  <si>
    <t>Miller Building</t>
  </si>
  <si>
    <t>B</t>
  </si>
  <si>
    <t>Juvenile Court</t>
  </si>
  <si>
    <t>Transitional Assistance - State</t>
  </si>
  <si>
    <t>Berkshire Works - City</t>
  </si>
  <si>
    <t>Vacant</t>
  </si>
  <si>
    <t>Committee of Public Counsel - State</t>
  </si>
  <si>
    <t>Parking Lot</t>
  </si>
  <si>
    <t>Other</t>
  </si>
  <si>
    <t>76 Spots</t>
  </si>
  <si>
    <t>Landscaping/ Snow</t>
  </si>
  <si>
    <t>Cleaning</t>
  </si>
  <si>
    <t>Teton Due Diligence</t>
  </si>
  <si>
    <t>Teton Closing Costs</t>
  </si>
  <si>
    <t>2 New Gas Boilers</t>
  </si>
  <si>
    <t>Down Payment</t>
  </si>
  <si>
    <t>Government Building</t>
  </si>
  <si>
    <t>Suites</t>
  </si>
  <si>
    <t>Per SqFt</t>
  </si>
  <si>
    <t>55,000 SqFt</t>
  </si>
  <si>
    <t>Bank Attorney</t>
  </si>
  <si>
    <t>*4% Inflation</t>
  </si>
  <si>
    <t>Total Potential Revenue</t>
  </si>
  <si>
    <t>*All leases renew at 4% increase per year</t>
  </si>
  <si>
    <t>Roof</t>
  </si>
  <si>
    <t>RTU's &amp; CTC</t>
  </si>
  <si>
    <t>Landscaping</t>
  </si>
  <si>
    <t>Municipal</t>
  </si>
  <si>
    <t>Elevator Maintenance</t>
  </si>
  <si>
    <t>Taxes</t>
  </si>
  <si>
    <t>$/Sf</t>
  </si>
  <si>
    <t>Market Cap Rate</t>
  </si>
  <si>
    <t>Market Value</t>
  </si>
  <si>
    <t>160-190 North St</t>
  </si>
  <si>
    <t xml:space="preserve"> </t>
  </si>
  <si>
    <t>Excess Cash Remaining in Operating Account</t>
  </si>
  <si>
    <t>*Utilities are based on trailing 90 days</t>
  </si>
  <si>
    <t>Total Debt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</si>
</sst>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  <numFmt numFmtId="167" formatCode="_(* #,##0_);_(* \(#,##0\);_(* &quot;-&quot;??_);_(@_)"/>
    <numFmt numFmtId="168" formatCode="_(* #,##0.000_);_(* \(#,##0.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Times New Roman"/>
      <family val="1"/>
    </font>
    <font>
      <b/>
      <sz val="14"/>
      <color theme="7" tint="-0.249977111117893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7" tint="-0.249977111117893"/>
      <name val="Times New Roman"/>
      <family val="1"/>
    </font>
    <font>
      <b/>
      <sz val="20"/>
      <color theme="7" tint="-0.249977111117893"/>
      <name val="Times New Roman"/>
      <family val="1"/>
    </font>
    <font>
      <b/>
      <sz val="22"/>
      <color theme="7" tint="-0.249977111117893"/>
      <name val="Times New Roman"/>
      <family val="1"/>
    </font>
    <font>
      <b/>
      <i/>
      <u/>
      <sz val="20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3" fillId="0" borderId="0" xfId="0" applyFont="1"/>
    <xf numFmtId="0" fontId="0" fillId="0" borderId="0" xfId="0" applyFill="1"/>
    <xf numFmtId="0" fontId="4" fillId="3" borderId="0" xfId="0" applyFont="1" applyFill="1"/>
    <xf numFmtId="0" fontId="0" fillId="0" borderId="4" xfId="0" applyBorder="1"/>
    <xf numFmtId="0" fontId="4" fillId="3" borderId="4" xfId="0" applyFont="1" applyFill="1" applyBorder="1"/>
    <xf numFmtId="0" fontId="0" fillId="0" borderId="5" xfId="0" applyBorder="1"/>
    <xf numFmtId="164" fontId="0" fillId="0" borderId="0" xfId="1" applyNumberFormat="1" applyFont="1"/>
    <xf numFmtId="44" fontId="0" fillId="0" borderId="7" xfId="1" applyFont="1" applyBorder="1"/>
    <xf numFmtId="164" fontId="0" fillId="0" borderId="0" xfId="0" applyNumberFormat="1"/>
    <xf numFmtId="164" fontId="0" fillId="0" borderId="4" xfId="0" applyNumberFormat="1" applyBorder="1"/>
    <xf numFmtId="0" fontId="3" fillId="0" borderId="5" xfId="0" applyFont="1" applyBorder="1" applyAlignment="1"/>
    <xf numFmtId="0" fontId="3" fillId="0" borderId="11" xfId="0" applyFont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9" fontId="0" fillId="0" borderId="0" xfId="0" applyNumberFormat="1"/>
    <xf numFmtId="164" fontId="0" fillId="0" borderId="1" xfId="1" applyNumberFormat="1" applyFont="1" applyBorder="1"/>
    <xf numFmtId="44" fontId="0" fillId="0" borderId="0" xfId="0" applyNumberFormat="1"/>
    <xf numFmtId="44" fontId="0" fillId="0" borderId="1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164" fontId="9" fillId="3" borderId="0" xfId="0" applyNumberFormat="1" applyFont="1" applyFill="1"/>
    <xf numFmtId="164" fontId="0" fillId="0" borderId="5" xfId="0" applyNumberFormat="1" applyBorder="1"/>
    <xf numFmtId="164" fontId="0" fillId="0" borderId="1" xfId="0" applyNumberFormat="1" applyBorder="1"/>
    <xf numFmtId="164" fontId="0" fillId="0" borderId="0" xfId="0" applyNumberFormat="1" applyFill="1"/>
    <xf numFmtId="164" fontId="0" fillId="3" borderId="4" xfId="0" applyNumberFormat="1" applyFill="1" applyBorder="1"/>
    <xf numFmtId="164" fontId="0" fillId="0" borderId="3" xfId="0" applyNumberFormat="1" applyBorder="1"/>
    <xf numFmtId="0" fontId="3" fillId="0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9" xfId="0" applyBorder="1" applyAlignment="1"/>
    <xf numFmtId="164" fontId="0" fillId="0" borderId="0" xfId="0" applyNumberFormat="1" applyFill="1" applyAlignment="1"/>
    <xf numFmtId="164" fontId="0" fillId="0" borderId="0" xfId="0" applyNumberFormat="1" applyBorder="1"/>
    <xf numFmtId="8" fontId="0" fillId="0" borderId="0" xfId="0" applyNumberFormat="1"/>
    <xf numFmtId="0" fontId="0" fillId="0" borderId="14" xfId="0" applyBorder="1"/>
    <xf numFmtId="164" fontId="0" fillId="4" borderId="4" xfId="0" applyNumberFormat="1" applyFill="1" applyBorder="1"/>
    <xf numFmtId="164" fontId="0" fillId="4" borderId="5" xfId="0" applyNumberFormat="1" applyFill="1" applyBorder="1"/>
    <xf numFmtId="164" fontId="0" fillId="0" borderId="13" xfId="0" applyNumberFormat="1" applyBorder="1"/>
    <xf numFmtId="9" fontId="0" fillId="0" borderId="0" xfId="2" applyFont="1"/>
    <xf numFmtId="10" fontId="0" fillId="0" borderId="0" xfId="2" applyNumberFormat="1" applyFont="1"/>
    <xf numFmtId="2" fontId="0" fillId="0" borderId="0" xfId="2" applyNumberFormat="1" applyFont="1"/>
    <xf numFmtId="44" fontId="0" fillId="5" borderId="0" xfId="0" applyNumberFormat="1" applyFill="1"/>
    <xf numFmtId="44" fontId="0" fillId="0" borderId="15" xfId="0" applyNumberFormat="1" applyBorder="1"/>
    <xf numFmtId="44" fontId="3" fillId="0" borderId="0" xfId="0" applyNumberFormat="1" applyFont="1"/>
    <xf numFmtId="0" fontId="3" fillId="0" borderId="1" xfId="0" applyFont="1" applyFill="1" applyBorder="1" applyAlignment="1"/>
    <xf numFmtId="0" fontId="0" fillId="0" borderId="1" xfId="0" applyFill="1" applyBorder="1"/>
    <xf numFmtId="44" fontId="0" fillId="0" borderId="0" xfId="0" applyNumberFormat="1" applyBorder="1"/>
    <xf numFmtId="0" fontId="3" fillId="0" borderId="5" xfId="0" applyFont="1" applyBorder="1" applyAlignment="1">
      <alignment horizontal="center"/>
    </xf>
    <xf numFmtId="44" fontId="3" fillId="0" borderId="0" xfId="0" applyNumberFormat="1" applyFont="1" applyFill="1" applyBorder="1"/>
    <xf numFmtId="10" fontId="0" fillId="0" borderId="0" xfId="0" applyNumberFormat="1"/>
    <xf numFmtId="44" fontId="0" fillId="5" borderId="14" xfId="0" applyNumberFormat="1" applyFill="1" applyBorder="1"/>
    <xf numFmtId="0" fontId="0" fillId="0" borderId="7" xfId="0" applyBorder="1"/>
    <xf numFmtId="0" fontId="0" fillId="0" borderId="0" xfId="0" applyFill="1" applyAlignment="1">
      <alignment horizontal="left"/>
    </xf>
    <xf numFmtId="164" fontId="0" fillId="0" borderId="12" xfId="1" applyNumberFormat="1" applyFont="1" applyBorder="1"/>
    <xf numFmtId="164" fontId="0" fillId="0" borderId="10" xfId="1" applyNumberFormat="1" applyFont="1" applyBorder="1"/>
    <xf numFmtId="0" fontId="3" fillId="0" borderId="16" xfId="0" applyFont="1" applyBorder="1" applyAlignment="1">
      <alignment horizontal="center"/>
    </xf>
    <xf numFmtId="8" fontId="0" fillId="0" borderId="4" xfId="0" applyNumberFormat="1" applyBorder="1"/>
    <xf numFmtId="10" fontId="0" fillId="0" borderId="4" xfId="0" applyNumberFormat="1" applyBorder="1"/>
    <xf numFmtId="0" fontId="3" fillId="0" borderId="17" xfId="0" applyFont="1" applyBorder="1" applyAlignment="1">
      <alignment horizontal="center"/>
    </xf>
    <xf numFmtId="44" fontId="0" fillId="0" borderId="11" xfId="0" applyNumberFormat="1" applyBorder="1"/>
    <xf numFmtId="44" fontId="0" fillId="0" borderId="7" xfId="0" applyNumberFormat="1" applyBorder="1"/>
    <xf numFmtId="8" fontId="0" fillId="0" borderId="7" xfId="0" applyNumberFormat="1" applyBorder="1"/>
    <xf numFmtId="10" fontId="0" fillId="0" borderId="7" xfId="0" applyNumberFormat="1" applyBorder="1"/>
    <xf numFmtId="0" fontId="0" fillId="0" borderId="11" xfId="0" applyBorder="1"/>
    <xf numFmtId="0" fontId="0" fillId="3" borderId="0" xfId="0" applyFill="1" applyAlignment="1">
      <alignment horizontal="left"/>
    </xf>
    <xf numFmtId="0" fontId="0" fillId="3" borderId="4" xfId="0" applyFill="1" applyBorder="1"/>
    <xf numFmtId="10" fontId="0" fillId="3" borderId="4" xfId="2" applyNumberFormat="1" applyFont="1" applyFill="1" applyBorder="1"/>
    <xf numFmtId="10" fontId="0" fillId="3" borderId="7" xfId="2" applyNumberFormat="1" applyFont="1" applyFill="1" applyBorder="1"/>
    <xf numFmtId="0" fontId="0" fillId="3" borderId="7" xfId="0" applyFill="1" applyBorder="1"/>
    <xf numFmtId="165" fontId="0" fillId="0" borderId="0" xfId="0" applyNumberFormat="1"/>
    <xf numFmtId="166" fontId="0" fillId="0" borderId="0" xfId="0" applyNumberFormat="1"/>
    <xf numFmtId="166" fontId="0" fillId="5" borderId="0" xfId="0" applyNumberFormat="1" applyFill="1"/>
    <xf numFmtId="0" fontId="3" fillId="0" borderId="1" xfId="0" applyFont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44" fontId="0" fillId="0" borderId="0" xfId="0" applyNumberFormat="1" applyFill="1" applyBorder="1"/>
    <xf numFmtId="8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3" fontId="0" fillId="0" borderId="0" xfId="0" applyNumberFormat="1"/>
    <xf numFmtId="44" fontId="9" fillId="3" borderId="0" xfId="0" applyNumberFormat="1" applyFont="1" applyFill="1"/>
    <xf numFmtId="164" fontId="0" fillId="6" borderId="1" xfId="0" applyNumberFormat="1" applyFill="1" applyBorder="1" applyAlignment="1">
      <alignment horizontal="left" indent="2"/>
    </xf>
    <xf numFmtId="164" fontId="0" fillId="6" borderId="0" xfId="0" applyNumberFormat="1" applyFill="1" applyAlignment="1">
      <alignment horizontal="left" indent="2"/>
    </xf>
    <xf numFmtId="164" fontId="0" fillId="0" borderId="0" xfId="0" applyNumberFormat="1" applyFill="1" applyAlignment="1">
      <alignment horizontal="left" indent="2"/>
    </xf>
    <xf numFmtId="164" fontId="0" fillId="0" borderId="1" xfId="0" applyNumberFormat="1" applyFill="1" applyBorder="1" applyAlignment="1">
      <alignment horizontal="left" indent="2"/>
    </xf>
    <xf numFmtId="44" fontId="0" fillId="0" borderId="0" xfId="0" applyNumberFormat="1" applyFill="1" applyAlignment="1"/>
    <xf numFmtId="164" fontId="0" fillId="0" borderId="2" xfId="0" applyNumberFormat="1" applyFill="1" applyBorder="1" applyAlignment="1">
      <alignment horizontal="left" indent="2"/>
    </xf>
    <xf numFmtId="164" fontId="0" fillId="0" borderId="2" xfId="0" applyNumberFormat="1" applyFill="1" applyBorder="1" applyAlignment="1"/>
    <xf numFmtId="164" fontId="0" fillId="0" borderId="0" xfId="0" applyNumberFormat="1" applyFill="1" applyBorder="1"/>
    <xf numFmtId="0" fontId="3" fillId="0" borderId="4" xfId="0" applyFont="1" applyBorder="1"/>
    <xf numFmtId="0" fontId="3" fillId="0" borderId="5" xfId="0" applyFont="1" applyBorder="1"/>
    <xf numFmtId="0" fontId="13" fillId="0" borderId="0" xfId="0" applyFont="1"/>
    <xf numFmtId="43" fontId="14" fillId="7" borderId="0" xfId="3" applyFont="1" applyFill="1"/>
    <xf numFmtId="2" fontId="0" fillId="0" borderId="4" xfId="0" applyNumberFormat="1" applyBorder="1"/>
    <xf numFmtId="2" fontId="0" fillId="0" borderId="1" xfId="0" applyNumberFormat="1" applyBorder="1"/>
    <xf numFmtId="167" fontId="0" fillId="0" borderId="1" xfId="3" applyNumberFormat="1" applyFont="1" applyBorder="1"/>
    <xf numFmtId="167" fontId="0" fillId="0" borderId="5" xfId="3" applyNumberFormat="1" applyFont="1" applyBorder="1"/>
    <xf numFmtId="164" fontId="3" fillId="0" borderId="0" xfId="1" applyNumberFormat="1" applyFont="1"/>
    <xf numFmtId="167" fontId="0" fillId="0" borderId="0" xfId="3" applyNumberFormat="1" applyFont="1"/>
    <xf numFmtId="167" fontId="3" fillId="0" borderId="0" xfId="3" applyNumberFormat="1" applyFont="1"/>
    <xf numFmtId="167" fontId="3" fillId="0" borderId="4" xfId="3" applyNumberFormat="1" applyFont="1" applyBorder="1"/>
    <xf numFmtId="2" fontId="0" fillId="0" borderId="0" xfId="0" applyNumberFormat="1" applyBorder="1"/>
    <xf numFmtId="0" fontId="15" fillId="8" borderId="0" xfId="0" applyFont="1" applyFill="1"/>
    <xf numFmtId="0" fontId="0" fillId="8" borderId="0" xfId="0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9" fontId="0" fillId="8" borderId="2" xfId="0" applyNumberFormat="1" applyFill="1" applyBorder="1" applyAlignment="1">
      <alignment horizontal="right"/>
    </xf>
    <xf numFmtId="44" fontId="0" fillId="8" borderId="0" xfId="0" applyNumberFormat="1" applyFill="1" applyAlignment="1">
      <alignment horizontal="right"/>
    </xf>
    <xf numFmtId="164" fontId="0" fillId="8" borderId="0" xfId="0" applyNumberFormat="1" applyFill="1" applyAlignment="1">
      <alignment horizontal="right"/>
    </xf>
    <xf numFmtId="10" fontId="0" fillId="8" borderId="0" xfId="0" applyNumberFormat="1" applyFill="1" applyAlignment="1">
      <alignment horizontal="right"/>
    </xf>
    <xf numFmtId="0" fontId="0" fillId="8" borderId="0" xfId="0" applyFill="1"/>
    <xf numFmtId="9" fontId="0" fillId="8" borderId="0" xfId="0" applyNumberFormat="1" applyFill="1" applyAlignment="1"/>
    <xf numFmtId="9" fontId="14" fillId="8" borderId="6" xfId="0" applyNumberFormat="1" applyFont="1" applyFill="1" applyBorder="1" applyAlignment="1">
      <alignment horizontal="center"/>
    </xf>
    <xf numFmtId="167" fontId="14" fillId="8" borderId="2" xfId="3" applyNumberFormat="1" applyFont="1" applyFill="1" applyBorder="1" applyAlignment="1"/>
    <xf numFmtId="167" fontId="14" fillId="8" borderId="0" xfId="3" applyNumberFormat="1" applyFont="1" applyFill="1" applyAlignment="1"/>
    <xf numFmtId="167" fontId="0" fillId="8" borderId="0" xfId="3" applyNumberFormat="1" applyFont="1" applyFill="1"/>
    <xf numFmtId="167" fontId="0" fillId="8" borderId="0" xfId="3" applyNumberFormat="1" applyFont="1" applyFill="1" applyAlignment="1">
      <alignment horizontal="left"/>
    </xf>
    <xf numFmtId="164" fontId="14" fillId="8" borderId="2" xfId="0" applyNumberFormat="1" applyFont="1" applyFill="1" applyBorder="1" applyAlignment="1">
      <alignment horizontal="left" indent="2"/>
    </xf>
    <xf numFmtId="164" fontId="14" fillId="8" borderId="0" xfId="0" applyNumberFormat="1" applyFont="1" applyFill="1" applyAlignment="1">
      <alignment horizontal="left" indent="2"/>
    </xf>
    <xf numFmtId="164" fontId="14" fillId="8" borderId="0" xfId="2" applyNumberFormat="1" applyFont="1" applyFill="1" applyAlignment="1">
      <alignment horizontal="left" indent="2"/>
    </xf>
    <xf numFmtId="9" fontId="14" fillId="8" borderId="2" xfId="0" applyNumberFormat="1" applyFont="1" applyFill="1" applyBorder="1" applyAlignment="1"/>
    <xf numFmtId="9" fontId="14" fillId="8" borderId="0" xfId="0" applyNumberFormat="1" applyFont="1" applyFill="1" applyAlignment="1"/>
    <xf numFmtId="9" fontId="14" fillId="8" borderId="6" xfId="0" applyNumberFormat="1" applyFont="1" applyFill="1" applyBorder="1" applyAlignment="1"/>
    <xf numFmtId="0" fontId="5" fillId="2" borderId="1" xfId="0" applyFont="1" applyFill="1" applyBorder="1"/>
    <xf numFmtId="0" fontId="2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5" fillId="2" borderId="1" xfId="0" applyFont="1" applyFill="1" applyBorder="1" applyAlignment="1">
      <alignment horizontal="left"/>
    </xf>
    <xf numFmtId="0" fontId="0" fillId="0" borderId="0" xfId="0" applyFont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3" fillId="0" borderId="0" xfId="0" applyFont="1" applyFill="1"/>
    <xf numFmtId="0" fontId="7" fillId="0" borderId="0" xfId="0" applyFont="1" applyFill="1"/>
    <xf numFmtId="14" fontId="3" fillId="0" borderId="4" xfId="0" applyNumberFormat="1" applyFont="1" applyFill="1" applyBorder="1"/>
    <xf numFmtId="14" fontId="3" fillId="0" borderId="0" xfId="0" applyNumberFormat="1" applyFont="1" applyFill="1"/>
    <xf numFmtId="164" fontId="14" fillId="8" borderId="0" xfId="1" applyNumberFormat="1" applyFont="1" applyFill="1"/>
    <xf numFmtId="164" fontId="14" fillId="8" borderId="0" xfId="1" applyNumberFormat="1" applyFont="1" applyFill="1" applyBorder="1"/>
    <xf numFmtId="0" fontId="6" fillId="0" borderId="0" xfId="0" applyFont="1" applyFill="1"/>
    <xf numFmtId="0" fontId="0" fillId="0" borderId="0" xfId="0" applyAlignment="1">
      <alignment horizontal="left"/>
    </xf>
    <xf numFmtId="0" fontId="14" fillId="8" borderId="2" xfId="0" applyFont="1" applyFill="1" applyBorder="1" applyAlignment="1">
      <alignment horizontal="left"/>
    </xf>
    <xf numFmtId="44" fontId="14" fillId="8" borderId="0" xfId="0" applyNumberFormat="1" applyFont="1" applyFill="1" applyAlignment="1">
      <alignment horizontal="left"/>
    </xf>
    <xf numFmtId="167" fontId="14" fillId="8" borderId="0" xfId="3" applyNumberFormat="1" applyFont="1" applyFill="1" applyAlignment="1">
      <alignment horizontal="left"/>
    </xf>
    <xf numFmtId="44" fontId="14" fillId="8" borderId="0" xfId="1" applyFont="1" applyFill="1" applyAlignment="1">
      <alignment horizontal="left"/>
    </xf>
    <xf numFmtId="14" fontId="14" fillId="8" borderId="0" xfId="0" applyNumberFormat="1" applyFont="1" applyFill="1" applyAlignment="1">
      <alignment horizontal="left"/>
    </xf>
    <xf numFmtId="0" fontId="17" fillId="0" borderId="0" xfId="0" applyFont="1"/>
    <xf numFmtId="0" fontId="18" fillId="0" borderId="0" xfId="0" applyFont="1"/>
    <xf numFmtId="0" fontId="19" fillId="0" borderId="0" xfId="0" applyFont="1"/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4" fillId="8" borderId="0" xfId="0" applyFont="1" applyFill="1" applyAlignment="1">
      <alignment horizontal="left"/>
    </xf>
    <xf numFmtId="0" fontId="14" fillId="8" borderId="0" xfId="0" applyFont="1" applyFill="1" applyAlignment="1"/>
    <xf numFmtId="43" fontId="0" fillId="0" borderId="1" xfId="3" applyFont="1" applyBorder="1" applyAlignment="1">
      <alignment horizontal="right"/>
    </xf>
    <xf numFmtId="43" fontId="0" fillId="0" borderId="1" xfId="3" applyFont="1" applyFill="1" applyBorder="1" applyAlignment="1">
      <alignment horizontal="right"/>
    </xf>
    <xf numFmtId="0" fontId="0" fillId="0" borderId="16" xfId="0" applyBorder="1"/>
    <xf numFmtId="167" fontId="0" fillId="0" borderId="14" xfId="3" applyNumberFormat="1" applyFont="1" applyBorder="1"/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2" borderId="4" xfId="0" applyFill="1" applyBorder="1"/>
    <xf numFmtId="9" fontId="3" fillId="0" borderId="0" xfId="2" applyFont="1"/>
    <xf numFmtId="43" fontId="0" fillId="0" borderId="0" xfId="3" applyFont="1" applyBorder="1" applyAlignment="1">
      <alignment horizontal="right"/>
    </xf>
    <xf numFmtId="44" fontId="16" fillId="0" borderId="0" xfId="1" applyFont="1" applyFill="1"/>
    <xf numFmtId="168" fontId="14" fillId="8" borderId="2" xfId="3" applyNumberFormat="1" applyFont="1" applyFill="1" applyBorder="1" applyAlignment="1">
      <alignment horizontal="right"/>
    </xf>
    <xf numFmtId="9" fontId="0" fillId="8" borderId="0" xfId="2" applyFont="1" applyFill="1" applyAlignment="1">
      <alignment horizontal="right"/>
    </xf>
    <xf numFmtId="167" fontId="0" fillId="9" borderId="0" xfId="3" applyNumberFormat="1" applyFont="1" applyFill="1"/>
    <xf numFmtId="167" fontId="0" fillId="0" borderId="0" xfId="3" applyNumberFormat="1" applyFont="1" applyFill="1"/>
    <xf numFmtId="167" fontId="0" fillId="0" borderId="1" xfId="3" applyNumberFormat="1" applyFont="1" applyFill="1" applyBorder="1"/>
    <xf numFmtId="0" fontId="0" fillId="0" borderId="14" xfId="0" applyFill="1" applyBorder="1"/>
    <xf numFmtId="164" fontId="0" fillId="0" borderId="1" xfId="0" applyNumberFormat="1" applyFill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164" fontId="0" fillId="0" borderId="3" xfId="0" applyNumberFormat="1" applyFill="1" applyBorder="1"/>
    <xf numFmtId="164" fontId="0" fillId="0" borderId="13" xfId="0" applyNumberFormat="1" applyFill="1" applyBorder="1"/>
    <xf numFmtId="9" fontId="0" fillId="0" borderId="0" xfId="2" applyFont="1" applyFill="1"/>
    <xf numFmtId="10" fontId="0" fillId="0" borderId="0" xfId="2" applyNumberFormat="1" applyFont="1" applyFill="1"/>
    <xf numFmtId="2" fontId="0" fillId="0" borderId="0" xfId="2" applyNumberFormat="1" applyFont="1" applyFill="1"/>
    <xf numFmtId="167" fontId="0" fillId="8" borderId="1" xfId="3" applyNumberFormat="1" applyFont="1" applyFill="1" applyBorder="1" applyAlignment="1">
      <alignment horizontal="left"/>
    </xf>
    <xf numFmtId="9" fontId="1" fillId="0" borderId="0" xfId="2" applyFont="1"/>
    <xf numFmtId="167" fontId="16" fillId="8" borderId="0" xfId="3" applyNumberFormat="1" applyFont="1" applyFill="1" applyAlignment="1">
      <alignment horizontal="right"/>
    </xf>
    <xf numFmtId="2" fontId="0" fillId="8" borderId="0" xfId="0" applyNumberFormat="1" applyFill="1"/>
    <xf numFmtId="44" fontId="0" fillId="0" borderId="0" xfId="1" applyNumberFormat="1" applyFont="1"/>
    <xf numFmtId="167" fontId="1" fillId="0" borderId="0" xfId="3" applyNumberFormat="1" applyFont="1"/>
    <xf numFmtId="167" fontId="3" fillId="0" borderId="0" xfId="0" applyNumberFormat="1" applyFont="1"/>
    <xf numFmtId="10" fontId="3" fillId="0" borderId="0" xfId="2" applyNumberFormat="1" applyFont="1"/>
    <xf numFmtId="167" fontId="14" fillId="8" borderId="0" xfId="3" applyNumberFormat="1" applyFont="1" applyFill="1" applyBorder="1" applyAlignment="1">
      <alignment horizontal="center"/>
    </xf>
    <xf numFmtId="0" fontId="3" fillId="0" borderId="4" xfId="0" applyFont="1" applyBorder="1" applyAlignment="1"/>
    <xf numFmtId="0" fontId="3" fillId="0" borderId="0" xfId="0" applyFont="1" applyBorder="1" applyAlignment="1"/>
    <xf numFmtId="164" fontId="1" fillId="0" borderId="0" xfId="1" applyNumberFormat="1" applyFont="1" applyBorder="1" applyAlignment="1"/>
    <xf numFmtId="0" fontId="0" fillId="0" borderId="0" xfId="0" applyFont="1" applyBorder="1" applyAlignment="1"/>
    <xf numFmtId="164" fontId="0" fillId="0" borderId="0" xfId="0" applyNumberFormat="1" applyFont="1" applyBorder="1" applyAlignment="1"/>
    <xf numFmtId="164" fontId="0" fillId="0" borderId="0" xfId="1" applyNumberFormat="1" applyFont="1" applyBorder="1" applyAlignment="1"/>
    <xf numFmtId="0" fontId="3" fillId="4" borderId="4" xfId="0" applyFont="1" applyFill="1" applyBorder="1" applyAlignment="1"/>
    <xf numFmtId="0" fontId="3" fillId="4" borderId="0" xfId="0" applyFont="1" applyFill="1" applyBorder="1" applyAlignment="1"/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0" xfId="1" applyNumberFormat="1" applyFont="1" applyAlignment="1">
      <alignment horizontal="left"/>
    </xf>
    <xf numFmtId="164" fontId="0" fillId="0" borderId="0" xfId="1" applyNumberFormat="1" applyFont="1" applyBorder="1"/>
    <xf numFmtId="164" fontId="0" fillId="0" borderId="14" xfId="1" applyNumberFormat="1" applyFont="1" applyBorder="1" applyAlignment="1">
      <alignment horizontal="left"/>
    </xf>
    <xf numFmtId="0" fontId="0" fillId="4" borderId="0" xfId="0" applyFill="1" applyBorder="1"/>
    <xf numFmtId="164" fontId="3" fillId="0" borderId="1" xfId="0" applyNumberFormat="1" applyFont="1" applyFill="1" applyBorder="1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7" fontId="0" fillId="0" borderId="0" xfId="3" applyNumberFormat="1" applyFont="1" applyBorder="1"/>
    <xf numFmtId="43" fontId="0" fillId="0" borderId="0" xfId="3" applyFont="1" applyFill="1" applyBorder="1" applyAlignment="1">
      <alignment horizontal="right"/>
    </xf>
    <xf numFmtId="167" fontId="0" fillId="9" borderId="0" xfId="3" applyNumberFormat="1" applyFont="1" applyFill="1" applyBorder="1"/>
    <xf numFmtId="167" fontId="0" fillId="0" borderId="0" xfId="3" applyNumberFormat="1" applyFont="1" applyFill="1" applyBorder="1"/>
    <xf numFmtId="167" fontId="0" fillId="0" borderId="1" xfId="3" applyNumberFormat="1" applyFont="1" applyBorder="1" applyAlignment="1">
      <alignment horizontal="right"/>
    </xf>
    <xf numFmtId="167" fontId="0" fillId="0" borderId="0" xfId="0" applyNumberFormat="1"/>
    <xf numFmtId="14" fontId="0" fillId="0" borderId="0" xfId="0" applyNumberFormat="1" applyBorder="1"/>
    <xf numFmtId="14" fontId="0" fillId="0" borderId="0" xfId="0" applyNumberFormat="1"/>
    <xf numFmtId="9" fontId="22" fillId="0" borderId="1" xfId="0" applyNumberFormat="1" applyFont="1" applyBorder="1"/>
    <xf numFmtId="44" fontId="0" fillId="0" borderId="0" xfId="0" applyNumberFormat="1" applyFill="1" applyBorder="1" applyAlignment="1"/>
    <xf numFmtId="0" fontId="2" fillId="0" borderId="0" xfId="0" applyFont="1" applyFill="1" applyBorder="1"/>
    <xf numFmtId="0" fontId="5" fillId="0" borderId="0" xfId="0" applyFont="1" applyFill="1" applyBorder="1" applyAlignment="1"/>
    <xf numFmtId="167" fontId="0" fillId="0" borderId="16" xfId="3" applyNumberFormat="1" applyFont="1" applyBorder="1"/>
    <xf numFmtId="164" fontId="3" fillId="0" borderId="4" xfId="1" applyNumberFormat="1" applyFont="1" applyBorder="1"/>
    <xf numFmtId="0" fontId="3" fillId="0" borderId="0" xfId="0" applyFont="1" applyAlignment="1">
      <alignment horizontal="left" indent="1"/>
    </xf>
    <xf numFmtId="9" fontId="3" fillId="0" borderId="0" xfId="0" applyNumberFormat="1" applyFont="1" applyAlignment="1">
      <alignment horizontal="center"/>
    </xf>
    <xf numFmtId="0" fontId="16" fillId="0" borderId="0" xfId="0" applyFont="1" applyFill="1" applyAlignment="1"/>
    <xf numFmtId="0" fontId="3" fillId="0" borderId="0" xfId="0" applyFont="1" applyFill="1" applyAlignment="1"/>
    <xf numFmtId="10" fontId="16" fillId="0" borderId="0" xfId="0" applyNumberFormat="1" applyFont="1" applyFill="1" applyAlignment="1"/>
    <xf numFmtId="10" fontId="14" fillId="8" borderId="6" xfId="0" applyNumberFormat="1" applyFont="1" applyFill="1" applyBorder="1" applyAlignment="1">
      <alignment horizontal="left"/>
    </xf>
    <xf numFmtId="9" fontId="16" fillId="0" borderId="0" xfId="0" applyNumberFormat="1" applyFont="1" applyFill="1" applyBorder="1" applyAlignment="1"/>
    <xf numFmtId="0" fontId="5" fillId="2" borderId="0" xfId="0" applyFont="1" applyFill="1" applyBorder="1"/>
    <xf numFmtId="0" fontId="0" fillId="0" borderId="0" xfId="0" applyAlignment="1">
      <alignment horizontal="left" indent="2"/>
    </xf>
    <xf numFmtId="0" fontId="22" fillId="0" borderId="0" xfId="0" applyFont="1"/>
    <xf numFmtId="0" fontId="0" fillId="0" borderId="4" xfId="0" applyFill="1" applyBorder="1"/>
    <xf numFmtId="164" fontId="0" fillId="0" borderId="0" xfId="1" applyNumberFormat="1" applyFont="1" applyFill="1"/>
    <xf numFmtId="44" fontId="0" fillId="0" borderId="0" xfId="0" applyNumberFormat="1" applyFill="1"/>
    <xf numFmtId="44" fontId="0" fillId="0" borderId="4" xfId="0" applyNumberFormat="1" applyFill="1" applyBorder="1"/>
    <xf numFmtId="164" fontId="0" fillId="0" borderId="0" xfId="0" applyNumberFormat="1" applyFill="1" applyAlignment="1">
      <alignment horizontal="left"/>
    </xf>
    <xf numFmtId="44" fontId="0" fillId="0" borderId="0" xfId="1" applyFont="1"/>
    <xf numFmtId="9" fontId="0" fillId="0" borderId="0" xfId="2" applyNumberFormat="1" applyFont="1"/>
    <xf numFmtId="0" fontId="0" fillId="0" borderId="0" xfId="0" applyAlignment="1">
      <alignment horizontal="left" indent="1"/>
    </xf>
    <xf numFmtId="0" fontId="3" fillId="0" borderId="12" xfId="0" applyFont="1" applyFill="1" applyBorder="1" applyAlignment="1">
      <alignment horizontal="center"/>
    </xf>
    <xf numFmtId="0" fontId="0" fillId="0" borderId="18" xfId="0" applyBorder="1"/>
    <xf numFmtId="0" fontId="0" fillId="0" borderId="8" xfId="0" applyFill="1" applyBorder="1"/>
    <xf numFmtId="164" fontId="0" fillId="0" borderId="8" xfId="0" applyNumberFormat="1" applyFill="1" applyBorder="1"/>
    <xf numFmtId="164" fontId="0" fillId="0" borderId="12" xfId="0" applyNumberFormat="1" applyBorder="1"/>
    <xf numFmtId="164" fontId="0" fillId="0" borderId="8" xfId="0" applyNumberFormat="1" applyBorder="1"/>
    <xf numFmtId="166" fontId="23" fillId="0" borderId="8" xfId="1" applyNumberFormat="1" applyFont="1" applyBorder="1"/>
    <xf numFmtId="166" fontId="23" fillId="0" borderId="12" xfId="1" applyNumberFormat="1" applyFont="1" applyBorder="1"/>
    <xf numFmtId="164" fontId="0" fillId="4" borderId="0" xfId="0" applyNumberFormat="1" applyFill="1" applyBorder="1"/>
    <xf numFmtId="164" fontId="0" fillId="4" borderId="1" xfId="0" applyNumberFormat="1" applyFill="1" applyBorder="1"/>
    <xf numFmtId="164" fontId="0" fillId="3" borderId="0" xfId="0" applyNumberFormat="1" applyFill="1" applyBorder="1"/>
    <xf numFmtId="0" fontId="0" fillId="0" borderId="0" xfId="0" applyAlignment="1">
      <alignment horizontal="left" indent="1"/>
    </xf>
    <xf numFmtId="0" fontId="2" fillId="2" borderId="0" xfId="0" applyFont="1" applyFill="1" applyAlignment="1"/>
    <xf numFmtId="0" fontId="0" fillId="0" borderId="0" xfId="0" applyAlignment="1"/>
    <xf numFmtId="0" fontId="14" fillId="8" borderId="0" xfId="0" applyFont="1" applyFill="1" applyAlignment="1">
      <alignment horizontal="left" indent="2"/>
    </xf>
    <xf numFmtId="0" fontId="0" fillId="0" borderId="0" xfId="0" applyAlignment="1">
      <alignment horizontal="left" indent="2"/>
    </xf>
    <xf numFmtId="0" fontId="9" fillId="0" borderId="0" xfId="0" applyFont="1" applyFill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2"/>
    </xf>
    <xf numFmtId="0" fontId="3" fillId="0" borderId="0" xfId="0" applyFont="1" applyAlignment="1"/>
    <xf numFmtId="0" fontId="0" fillId="0" borderId="1" xfId="0" applyBorder="1" applyAlignment="1">
      <alignment horizontal="left" indent="1"/>
    </xf>
    <xf numFmtId="0" fontId="14" fillId="8" borderId="0" xfId="0" applyFont="1" applyFill="1" applyAlignment="1">
      <alignment horizontal="left" wrapText="1" indent="1"/>
    </xf>
    <xf numFmtId="0" fontId="3" fillId="0" borderId="0" xfId="0" applyFont="1" applyAlignment="1">
      <alignment horizontal="left"/>
    </xf>
    <xf numFmtId="0" fontId="9" fillId="3" borderId="0" xfId="0" applyFont="1" applyFill="1" applyAlignment="1">
      <alignment horizontal="left" indent="1"/>
    </xf>
    <xf numFmtId="0" fontId="2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left"/>
    </xf>
    <xf numFmtId="0" fontId="16" fillId="0" borderId="0" xfId="0" applyFont="1" applyFill="1" applyAlignment="1">
      <alignment horizontal="left" inden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3" borderId="0" xfId="0" applyFill="1" applyAlignment="1">
      <alignment horizontal="left" indent="1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9" fontId="11" fillId="0" borderId="0" xfId="2" applyFont="1" applyBorder="1" applyAlignment="1">
      <alignment horizontal="center"/>
    </xf>
    <xf numFmtId="9" fontId="11" fillId="0" borderId="3" xfId="2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0" fontId="11" fillId="0" borderId="3" xfId="3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Border="1"/>
    <xf numFmtId="164" fontId="23" fillId="0" borderId="0" xfId="0" applyNumberFormat="1" applyFont="1" applyFill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206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10 Year Net Operating Income</a:t>
            </a:r>
          </a:p>
        </c:rich>
      </c:tx>
      <c:layout>
        <c:manualLayout>
          <c:xMode val="edge"/>
          <c:yMode val="edge"/>
          <c:x val="0.22783689266848645"/>
          <c:y val="2.4806205588102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  <a:round/>
              </a:ln>
              <a:effectLst/>
            </c:spPr>
          </c:marker>
          <c:cat>
            <c:strRef>
              <c:f>'Cash Flow 10 Yr'!$E$5:$O$5</c:f>
              <c:strCache>
                <c:ptCount val="11"/>
                <c:pt idx="0">
                  <c:v>1</c:v>
                </c:pt>
                <c:pt idx="1">
                  <c:v>$/Sf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cat>
          <c:val>
            <c:numRef>
              <c:f>'Cash Flow 10 Yr'!$E$31:$O$31</c:f>
              <c:numCache>
                <c:formatCode>_("$"* #,##0_);_("$"* \(#,##0\);_("$"* "-"??_);_(@_)</c:formatCode>
                <c:ptCount val="11"/>
                <c:pt idx="0">
                  <c:v>767168.51</c:v>
                </c:pt>
                <c:pt idx="2">
                  <c:v>756235.23560000001</c:v>
                </c:pt>
                <c:pt idx="3">
                  <c:v>750338.82622399996</c:v>
                </c:pt>
                <c:pt idx="4">
                  <c:v>744206.56047296</c:v>
                </c:pt>
                <c:pt idx="5">
                  <c:v>759770.92409187823</c:v>
                </c:pt>
                <c:pt idx="6">
                  <c:v>764061.79625555349</c:v>
                </c:pt>
                <c:pt idx="7">
                  <c:v>757163.83127377555</c:v>
                </c:pt>
                <c:pt idx="8">
                  <c:v>749989.94769272662</c:v>
                </c:pt>
                <c:pt idx="9">
                  <c:v>742529.10876843566</c:v>
                </c:pt>
                <c:pt idx="10">
                  <c:v>734769.83628717321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5-4223-9C82-E84DBEA5F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29120"/>
        <c:axId val="1425555936"/>
      </c:lineChart>
      <c:catAx>
        <c:axId val="1174229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rgbClr val="00206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>
                    <a:solidFill>
                      <a:srgbClr val="00206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rgbClr val="00206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25555936"/>
        <c:crosses val="autoZero"/>
        <c:auto val="1"/>
        <c:lblAlgn val="ctr"/>
        <c:lblOffset val="100"/>
        <c:noMultiLvlLbl val="0"/>
      </c:catAx>
      <c:valAx>
        <c:axId val="14255559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rgbClr val="00206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>
                    <a:solidFill>
                      <a:srgbClr val="00206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NOI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rgbClr val="00206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422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rgbClr val="00206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Operating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5A6-43E3-BA21-C3BF51F2DA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5A6-43E3-BA21-C3BF51F2DA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8FE-473D-9B21-06BAE0EA2D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A0F-4100-8A11-9749443B5F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5A6-43E3-BA21-C3BF51F2DAC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5A6-43E3-BA21-C3BF51F2DAC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5A6-43E3-BA21-C3BF51F2DA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5A6-43E3-BA21-C3BF51F2DAC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25A6-43E3-BA21-C3BF51F2DAC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25A6-43E3-BA21-C3BF51F2DAC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25A6-43E3-BA21-C3BF51F2DAC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25A6-43E3-BA21-C3BF51F2DAC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25A6-43E3-BA21-C3BF51F2DAC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25A6-43E3-BA21-C3BF51F2DAC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('Dashboard Control'!$F$22:$F$25,'Dashboard Control'!$F$26:$F$29,'Dashboard Control'!$F$31:$F$35)</c15:sqref>
                  </c15:fullRef>
                </c:ext>
              </c:extLst>
              <c:f>('Dashboard Control'!$F$22:$F$23,'Dashboard Control'!$F$25,'Dashboard Control'!$F$26:$F$29,'Dashboard Control'!$F$31:$F$35)</c:f>
              <c:strCache>
                <c:ptCount val="12"/>
                <c:pt idx="0">
                  <c:v>Taxes</c:v>
                </c:pt>
                <c:pt idx="1">
                  <c:v>Insurance</c:v>
                </c:pt>
                <c:pt idx="2">
                  <c:v>Elevator Maintenance</c:v>
                </c:pt>
                <c:pt idx="3">
                  <c:v>Water &amp; Sewer</c:v>
                </c:pt>
                <c:pt idx="4">
                  <c:v>Gas Heat</c:v>
                </c:pt>
                <c:pt idx="5">
                  <c:v>Trash</c:v>
                </c:pt>
                <c:pt idx="6">
                  <c:v>Electric</c:v>
                </c:pt>
                <c:pt idx="7">
                  <c:v>Advertising</c:v>
                </c:pt>
                <c:pt idx="8">
                  <c:v>Property Management Rate</c:v>
                </c:pt>
                <c:pt idx="9">
                  <c:v>Asset Management Fee</c:v>
                </c:pt>
                <c:pt idx="10">
                  <c:v>Repair &amp; Maintenance</c:v>
                </c:pt>
                <c:pt idx="11">
                  <c:v>Legal &amp; Accounting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('Dashboard Control'!$H$22:$H$25,'Dashboard Control'!$H$26:$H$29,'Dashboard Control'!$H$31:$H$35)</c15:sqref>
                  </c15:fullRef>
                </c:ext>
              </c:extLst>
              <c:f>('Dashboard Control'!$H$22:$H$23,'Dashboard Control'!$H$25,'Dashboard Control'!$H$26:$H$29,'Dashboard Control'!$H$31:$H$35)</c:f>
              <c:numCache>
                <c:formatCode>_(* #,##0_);_(* \(#,##0\);_(* "-"??_);_(@_)</c:formatCode>
                <c:ptCount val="12"/>
                <c:pt idx="0">
                  <c:v>80000</c:v>
                </c:pt>
                <c:pt idx="1">
                  <c:v>25000</c:v>
                </c:pt>
                <c:pt idx="2">
                  <c:v>15000</c:v>
                </c:pt>
                <c:pt idx="3">
                  <c:v>5000</c:v>
                </c:pt>
                <c:pt idx="4">
                  <c:v>80000</c:v>
                </c:pt>
                <c:pt idx="5">
                  <c:v>5000</c:v>
                </c:pt>
                <c:pt idx="6">
                  <c:v>50000</c:v>
                </c:pt>
                <c:pt idx="7">
                  <c:v>4000</c:v>
                </c:pt>
                <c:pt idx="8">
                  <c:v>36730.83</c:v>
                </c:pt>
                <c:pt idx="9">
                  <c:v>12243.61</c:v>
                </c:pt>
                <c:pt idx="10">
                  <c:v>61218.05</c:v>
                </c:pt>
                <c:pt idx="11">
                  <c:v>3000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A-7C50-4D4B-A3FC-6CC11CABFF3C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552448</xdr:colOff>
      <xdr:row>10</xdr:row>
      <xdr:rowOff>85725</xdr:rowOff>
    </xdr:from>
    <xdr:to>
      <xdr:col>13</xdr:col>
      <xdr:colOff>47625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9C1E71-6E24-4192-AD1B-3646D0C372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28</xdr:row>
      <xdr:rowOff>42862</xdr:rowOff>
    </xdr:from>
    <xdr:to>
      <xdr:col>10</xdr:col>
      <xdr:colOff>171450</xdr:colOff>
      <xdr:row>42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0C4183-C657-4229-ADD9-A8A5F8D4A5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2CDD6-FD37-42EB-BB72-CD5A3C275135}">
  <dimension ref="B1:J49"/>
  <sheetViews>
    <sheetView showGridLines="0" zoomScale="80" zoomScaleNormal="80" workbookViewId="0">
      <selection activeCell="J36" sqref="J36"/>
    </sheetView>
  </sheetViews>
  <sheetFormatPr defaultRowHeight="14.4" x14ac:dyDescent="0.3"/>
  <cols>
    <col min="4" max="4" width="25" customWidth="1"/>
    <col min="5" max="5" width="9.109375" hidden="1" customWidth="1"/>
    <col min="6" max="6" width="15.33203125" hidden="1" customWidth="1"/>
    <col min="7" max="7" width="13.6640625" hidden="1" customWidth="1"/>
    <col min="8" max="9" width="9.109375" hidden="1" customWidth="1"/>
    <col min="10" max="10" width="19.44140625" customWidth="1"/>
  </cols>
  <sheetData>
    <row r="1" spans="2:10" ht="18" x14ac:dyDescent="0.35">
      <c r="C1" s="275" t="s">
        <v>0</v>
      </c>
      <c r="D1" s="275"/>
      <c r="E1" s="275"/>
    </row>
    <row r="2" spans="2:10" ht="22.8" x14ac:dyDescent="0.4">
      <c r="B2" s="149" t="s">
        <v>160</v>
      </c>
      <c r="J2" s="3"/>
    </row>
    <row r="3" spans="2:10" ht="18" x14ac:dyDescent="0.35">
      <c r="B3" s="4" t="str">
        <f>'Dashboard Control'!B3</f>
        <v>Miller Building</v>
      </c>
      <c r="F3" s="276"/>
      <c r="G3" s="276"/>
      <c r="H3" s="276"/>
      <c r="I3" s="276"/>
      <c r="J3" s="277"/>
    </row>
    <row r="4" spans="2:10" x14ac:dyDescent="0.3">
      <c r="B4" s="278" t="str">
        <f>B2</f>
        <v>Sources &amp; Uses</v>
      </c>
      <c r="C4" s="278"/>
      <c r="D4" s="278"/>
      <c r="E4" s="278"/>
      <c r="F4" s="278"/>
      <c r="G4" s="278"/>
      <c r="H4" s="278"/>
      <c r="I4" s="278"/>
      <c r="J4" s="278"/>
    </row>
    <row r="5" spans="2:10" x14ac:dyDescent="0.3">
      <c r="B5" s="262" t="s">
        <v>161</v>
      </c>
      <c r="C5" s="262"/>
      <c r="D5" s="262"/>
      <c r="E5" s="205"/>
      <c r="F5" s="197"/>
      <c r="G5" s="198"/>
      <c r="H5" s="198"/>
      <c r="I5" s="198"/>
      <c r="J5" s="206">
        <f>SUM(J6:J8)</f>
        <v>8822507.5</v>
      </c>
    </row>
    <row r="6" spans="2:10" x14ac:dyDescent="0.3">
      <c r="B6" s="232" t="s">
        <v>162</v>
      </c>
      <c r="C6" s="6"/>
      <c r="D6" s="233">
        <f>Amorization!E9</f>
        <v>0.75</v>
      </c>
      <c r="E6" s="3"/>
      <c r="F6" s="191"/>
      <c r="G6" s="193">
        <f>'Dashboard Control'!N17</f>
        <v>6075000</v>
      </c>
      <c r="H6" s="194"/>
      <c r="I6" s="194"/>
      <c r="J6" s="195">
        <f>SUM(G6:I6)</f>
        <v>6075000</v>
      </c>
    </row>
    <row r="7" spans="2:10" x14ac:dyDescent="0.3">
      <c r="B7" s="232" t="s">
        <v>163</v>
      </c>
      <c r="C7" s="6"/>
      <c r="D7" s="6"/>
      <c r="E7" s="3"/>
      <c r="F7" s="191"/>
      <c r="G7" s="193">
        <f>'Dashboard Control'!N18</f>
        <v>2747507.5</v>
      </c>
      <c r="H7" s="194"/>
      <c r="I7" s="194"/>
      <c r="J7" s="196">
        <f>SUM(G7:I7)</f>
        <v>2747507.5</v>
      </c>
    </row>
    <row r="8" spans="2:10" x14ac:dyDescent="0.3">
      <c r="B8" s="207"/>
      <c r="E8" s="3"/>
      <c r="F8" s="191"/>
      <c r="G8" s="192"/>
      <c r="H8" s="192"/>
      <c r="I8" s="192"/>
      <c r="J8" s="192"/>
    </row>
    <row r="9" spans="2:10" x14ac:dyDescent="0.3">
      <c r="B9" s="262" t="s">
        <v>164</v>
      </c>
      <c r="C9" s="262"/>
      <c r="D9" s="262"/>
      <c r="E9" s="205"/>
      <c r="F9" s="197"/>
      <c r="G9" s="198"/>
      <c r="H9" s="198"/>
      <c r="I9" s="198"/>
      <c r="J9" s="206">
        <f>SUM(J20,J35)</f>
        <v>8822507.5</v>
      </c>
    </row>
    <row r="10" spans="2:10" x14ac:dyDescent="0.3">
      <c r="B10" s="267" t="s">
        <v>165</v>
      </c>
      <c r="C10" s="267"/>
      <c r="D10" s="267"/>
      <c r="E10" s="3"/>
      <c r="F10" s="9"/>
      <c r="G10" s="12">
        <f>'Dashboard Control'!N22</f>
        <v>8100000</v>
      </c>
      <c r="H10" s="22"/>
      <c r="I10" s="24"/>
      <c r="J10" s="199">
        <f>SUM(G10:I10)</f>
        <v>8100000</v>
      </c>
    </row>
    <row r="11" spans="2:10" x14ac:dyDescent="0.3">
      <c r="B11" s="263"/>
      <c r="C11" s="263"/>
      <c r="D11" s="263"/>
      <c r="F11" s="9"/>
      <c r="G11" s="12"/>
      <c r="H11" s="22"/>
      <c r="I11" s="24"/>
      <c r="J11" s="199">
        <f>SUM(G11:I11)</f>
        <v>0</v>
      </c>
    </row>
    <row r="12" spans="2:10" x14ac:dyDescent="0.3">
      <c r="B12" s="267" t="s">
        <v>166</v>
      </c>
      <c r="C12" s="267"/>
      <c r="D12" s="267"/>
      <c r="F12" s="9"/>
      <c r="G12" s="12"/>
      <c r="H12" s="22"/>
      <c r="I12" s="24"/>
      <c r="J12" s="199"/>
    </row>
    <row r="13" spans="2:10" x14ac:dyDescent="0.3">
      <c r="B13" s="264" t="s">
        <v>254</v>
      </c>
      <c r="C13" s="264"/>
      <c r="D13" s="264"/>
      <c r="F13" s="9"/>
      <c r="G13" s="140">
        <v>100000</v>
      </c>
      <c r="H13" s="22"/>
      <c r="I13" s="24"/>
      <c r="J13" s="199">
        <f>SUM(G13:I13)</f>
        <v>100000</v>
      </c>
    </row>
    <row r="14" spans="2:10" x14ac:dyDescent="0.3">
      <c r="B14" s="264" t="s">
        <v>253</v>
      </c>
      <c r="C14" s="264"/>
      <c r="D14" s="264"/>
      <c r="F14" s="9"/>
      <c r="G14" s="140">
        <v>100000</v>
      </c>
      <c r="H14" s="22"/>
      <c r="I14" s="24"/>
      <c r="J14" s="199">
        <f>SUM(G14:I14)</f>
        <v>100000</v>
      </c>
    </row>
    <row r="15" spans="2:10" x14ac:dyDescent="0.3">
      <c r="B15" s="264" t="s">
        <v>255</v>
      </c>
      <c r="C15" s="264"/>
      <c r="D15" s="264"/>
      <c r="F15" s="9"/>
      <c r="G15" s="140">
        <v>50000</v>
      </c>
      <c r="H15" s="22"/>
      <c r="I15" s="24"/>
      <c r="J15" s="199">
        <f>SUM(G15:I15)</f>
        <v>50000</v>
      </c>
    </row>
    <row r="16" spans="2:10" x14ac:dyDescent="0.3">
      <c r="B16" s="272"/>
      <c r="C16" s="272"/>
      <c r="D16" s="272"/>
      <c r="F16" s="9"/>
      <c r="G16" s="140"/>
      <c r="H16" s="22"/>
      <c r="I16" s="24"/>
      <c r="J16" s="199">
        <f>SUM(G16:I16)</f>
        <v>0</v>
      </c>
    </row>
    <row r="17" spans="2:10" x14ac:dyDescent="0.3">
      <c r="B17" s="265" t="s">
        <v>167</v>
      </c>
      <c r="C17" s="265"/>
      <c r="D17" s="265"/>
      <c r="E17" s="53"/>
      <c r="F17" s="9"/>
      <c r="G17" s="141">
        <v>50000</v>
      </c>
      <c r="H17" s="50"/>
      <c r="I17" s="24"/>
      <c r="J17" s="200">
        <f>SUM(G17:I17)</f>
        <v>50000</v>
      </c>
    </row>
    <row r="18" spans="2:10" x14ac:dyDescent="0.3">
      <c r="B18" s="212"/>
      <c r="C18" s="212"/>
      <c r="D18" s="212"/>
      <c r="F18" s="11"/>
      <c r="G18" s="21"/>
      <c r="H18" s="23"/>
      <c r="I18" s="25"/>
      <c r="J18" s="200"/>
    </row>
    <row r="19" spans="2:10" x14ac:dyDescent="0.3">
      <c r="B19" s="267" t="s">
        <v>168</v>
      </c>
      <c r="C19" s="267"/>
      <c r="D19" s="267"/>
      <c r="F19" s="9"/>
      <c r="G19" s="12">
        <f>SUM(G13:G18)</f>
        <v>300000</v>
      </c>
      <c r="H19" s="12">
        <f>SUM(H10:H17)</f>
        <v>0</v>
      </c>
      <c r="I19" s="203">
        <f>SUM(I10:I17)</f>
        <v>0</v>
      </c>
      <c r="J19" s="204">
        <f>SUM(J13:J17)</f>
        <v>300000</v>
      </c>
    </row>
    <row r="20" spans="2:10" hidden="1" x14ac:dyDescent="0.3">
      <c r="B20" s="273" t="s">
        <v>169</v>
      </c>
      <c r="C20" s="273"/>
      <c r="D20" s="273"/>
      <c r="F20" s="9"/>
      <c r="G20" s="12">
        <f>SUM(G10+G19)</f>
        <v>8400000</v>
      </c>
      <c r="H20" s="12">
        <f>SUM(H10+H19)</f>
        <v>0</v>
      </c>
      <c r="I20" s="58">
        <f>SUM(I10+I19)</f>
        <v>0</v>
      </c>
      <c r="J20" s="202">
        <f>SUM(J10+J19)</f>
        <v>8400000</v>
      </c>
    </row>
    <row r="21" spans="2:10" x14ac:dyDescent="0.3">
      <c r="B21" s="263"/>
      <c r="C21" s="263"/>
      <c r="D21" s="263"/>
      <c r="F21" s="9"/>
      <c r="G21" s="12"/>
      <c r="H21" s="22"/>
      <c r="I21" s="24"/>
      <c r="J21" s="208"/>
    </row>
    <row r="22" spans="2:10" x14ac:dyDescent="0.3">
      <c r="B22" s="266" t="s">
        <v>99</v>
      </c>
      <c r="C22" s="266"/>
      <c r="D22" s="266"/>
      <c r="F22" s="9"/>
      <c r="G22" s="12"/>
      <c r="H22" s="22"/>
      <c r="I22" s="24"/>
      <c r="J22" s="208"/>
    </row>
    <row r="23" spans="2:10" x14ac:dyDescent="0.3">
      <c r="B23" s="265" t="str">
        <f>'Dashboard Control'!J25</f>
        <v>Bank Points</v>
      </c>
      <c r="C23" s="265"/>
      <c r="D23" s="265"/>
      <c r="F23" s="9"/>
      <c r="G23" s="12">
        <f>'Dashboard Control'!N25</f>
        <v>15187.5</v>
      </c>
      <c r="H23" s="22"/>
      <c r="I23" s="24"/>
      <c r="J23" s="199">
        <f t="shared" ref="J23:J34" si="0">SUM(G23:I23)</f>
        <v>15187.5</v>
      </c>
    </row>
    <row r="24" spans="2:10" x14ac:dyDescent="0.3">
      <c r="B24" s="265" t="str">
        <f>'Dashboard Control'!J26</f>
        <v>Attorney Fees</v>
      </c>
      <c r="C24" s="265"/>
      <c r="D24" s="265"/>
      <c r="F24" s="9"/>
      <c r="G24" s="12">
        <f>'Dashboard Control'!N26</f>
        <v>15000</v>
      </c>
      <c r="H24" s="22"/>
      <c r="I24" s="24"/>
      <c r="J24" s="199">
        <f t="shared" si="0"/>
        <v>15000</v>
      </c>
    </row>
    <row r="25" spans="2:10" x14ac:dyDescent="0.3">
      <c r="B25" s="269" t="str">
        <f>'Dashboard Control'!J27</f>
        <v>Bank Attorney</v>
      </c>
      <c r="C25" s="269"/>
      <c r="D25" s="269"/>
      <c r="E25" s="7"/>
      <c r="F25" s="242"/>
      <c r="G25" s="243">
        <f>'Dashboard Control'!N27</f>
        <v>10000</v>
      </c>
      <c r="H25" s="244"/>
      <c r="I25" s="245"/>
      <c r="J25" s="246">
        <f>SUM(G25:I25)</f>
        <v>10000</v>
      </c>
    </row>
    <row r="26" spans="2:10" x14ac:dyDescent="0.3">
      <c r="B26" s="265" t="str">
        <f>'Dashboard Control'!J28</f>
        <v>Survey</v>
      </c>
      <c r="C26" s="265"/>
      <c r="D26" s="265"/>
      <c r="F26" s="9"/>
      <c r="G26" s="12">
        <f>'Dashboard Control'!N28</f>
        <v>8000</v>
      </c>
      <c r="H26" s="22"/>
      <c r="I26" s="24"/>
      <c r="J26" s="199">
        <f>SUM(G26:I26)</f>
        <v>8000</v>
      </c>
    </row>
    <row r="27" spans="2:10" x14ac:dyDescent="0.3">
      <c r="B27" s="240" t="str">
        <f>'Dashboard Control'!J29</f>
        <v xml:space="preserve">Title Insurance </v>
      </c>
      <c r="C27" s="240"/>
      <c r="D27" s="240"/>
      <c r="F27" s="9"/>
      <c r="G27" s="12">
        <f>'Dashboard Control'!N29</f>
        <v>15000</v>
      </c>
      <c r="H27" s="22"/>
      <c r="I27" s="24"/>
      <c r="J27" s="199">
        <f>SUM(G27:I27)</f>
        <v>15000</v>
      </c>
    </row>
    <row r="28" spans="2:10" x14ac:dyDescent="0.3">
      <c r="B28" s="265" t="str">
        <f>'Dashboard Control'!J30</f>
        <v>Bank Fees</v>
      </c>
      <c r="C28" s="265"/>
      <c r="D28" s="265"/>
      <c r="F28" s="9"/>
      <c r="G28" s="12">
        <f>'Dashboard Control'!N30</f>
        <v>5000</v>
      </c>
      <c r="H28" s="22"/>
      <c r="I28" s="24"/>
      <c r="J28" s="199">
        <f t="shared" si="0"/>
        <v>5000</v>
      </c>
    </row>
    <row r="29" spans="2:10" x14ac:dyDescent="0.3">
      <c r="B29" s="265" t="str">
        <f>'Dashboard Control'!J31</f>
        <v>Permits &amp; Fees</v>
      </c>
      <c r="C29" s="265"/>
      <c r="D29" s="265"/>
      <c r="F29" s="9"/>
      <c r="G29" s="12">
        <f>'Dashboard Control'!N31</f>
        <v>2000</v>
      </c>
      <c r="H29" s="22"/>
      <c r="I29" s="24"/>
      <c r="J29" s="199">
        <f>SUM(G29:I29)</f>
        <v>2000</v>
      </c>
    </row>
    <row r="30" spans="2:10" x14ac:dyDescent="0.3">
      <c r="B30" s="265" t="str">
        <f>'Dashboard Control'!J32</f>
        <v>Miscellaneous</v>
      </c>
      <c r="C30" s="265"/>
      <c r="D30" s="265"/>
      <c r="F30" s="9"/>
      <c r="G30" s="12">
        <f>'Dashboard Control'!N32</f>
        <v>5000</v>
      </c>
      <c r="H30" s="22"/>
      <c r="I30" s="24"/>
      <c r="J30" s="199">
        <f t="shared" si="0"/>
        <v>5000</v>
      </c>
    </row>
    <row r="31" spans="2:10" x14ac:dyDescent="0.3">
      <c r="B31" s="265" t="str">
        <f>'Dashboard Control'!J33</f>
        <v>Teton Due Diligence</v>
      </c>
      <c r="C31" s="265"/>
      <c r="D31" s="265"/>
      <c r="F31" s="9"/>
      <c r="G31" s="12">
        <f>'Dashboard Control'!N33</f>
        <v>15000</v>
      </c>
      <c r="H31" s="22"/>
      <c r="I31" s="24"/>
      <c r="J31" s="199">
        <f>SUM(G31:I31)</f>
        <v>15000</v>
      </c>
    </row>
    <row r="32" spans="2:10" x14ac:dyDescent="0.3">
      <c r="B32" s="265" t="str">
        <f>'Dashboard Control'!J34</f>
        <v>Teton Closing Costs</v>
      </c>
      <c r="C32" s="265"/>
      <c r="D32" s="265"/>
      <c r="F32" s="9"/>
      <c r="G32" s="12">
        <f>'Dashboard Control'!N34</f>
        <v>10000</v>
      </c>
      <c r="H32" s="22"/>
      <c r="I32" s="24"/>
      <c r="J32" s="199">
        <f>SUM(G32:I32)</f>
        <v>10000</v>
      </c>
    </row>
    <row r="33" spans="2:10" x14ac:dyDescent="0.3">
      <c r="B33" s="265" t="str">
        <f>'Dashboard Control'!J35</f>
        <v>Teton Deal Fee</v>
      </c>
      <c r="C33" s="265"/>
      <c r="D33" s="265"/>
      <c r="F33" s="9"/>
      <c r="G33" s="12">
        <f>'Dashboard Control'!N35</f>
        <v>168000</v>
      </c>
      <c r="H33" s="50"/>
      <c r="I33" s="24"/>
      <c r="J33" s="199">
        <f t="shared" si="0"/>
        <v>168000</v>
      </c>
    </row>
    <row r="34" spans="2:10" x14ac:dyDescent="0.3">
      <c r="B34" s="265" t="str">
        <f>'Dashboard Control'!J36</f>
        <v>Capital Account</v>
      </c>
      <c r="C34" s="265"/>
      <c r="D34" s="265"/>
      <c r="E34" s="3"/>
      <c r="F34" s="11"/>
      <c r="G34" s="57">
        <f>'Dashboard Control'!N36</f>
        <v>154320</v>
      </c>
      <c r="H34" s="23"/>
      <c r="I34" s="23"/>
      <c r="J34" s="201">
        <f t="shared" si="0"/>
        <v>154320</v>
      </c>
    </row>
    <row r="35" spans="2:10" x14ac:dyDescent="0.3">
      <c r="B35" s="267" t="s">
        <v>128</v>
      </c>
      <c r="C35" s="267"/>
      <c r="D35" s="267"/>
      <c r="F35" s="9"/>
      <c r="G35" s="12">
        <f>SUM(G23:G34)</f>
        <v>422507.5</v>
      </c>
      <c r="H35" s="12">
        <f>SUM(H23:H34)</f>
        <v>0</v>
      </c>
      <c r="I35" s="12">
        <f>SUM(I23:I34)</f>
        <v>0</v>
      </c>
      <c r="J35" s="202">
        <f>SUM(J23:J34)</f>
        <v>422507.5</v>
      </c>
    </row>
    <row r="36" spans="2:10" x14ac:dyDescent="0.3">
      <c r="B36" s="263"/>
      <c r="C36" s="263"/>
      <c r="D36" s="263"/>
      <c r="F36" s="9"/>
      <c r="G36" s="12"/>
      <c r="H36" s="22"/>
      <c r="I36" s="24"/>
    </row>
    <row r="37" spans="2:10" hidden="1" x14ac:dyDescent="0.3">
      <c r="B37" s="263"/>
      <c r="C37" s="263"/>
      <c r="D37" s="263"/>
      <c r="F37" s="9"/>
      <c r="I37" s="9"/>
    </row>
    <row r="38" spans="2:10" hidden="1" x14ac:dyDescent="0.3">
      <c r="B38" s="274" t="s">
        <v>170</v>
      </c>
      <c r="C38" s="274"/>
      <c r="D38" s="274"/>
      <c r="E38" s="8"/>
      <c r="F38" s="10"/>
      <c r="G38" s="26">
        <f>J38</f>
        <v>8822507.5</v>
      </c>
      <c r="H38" s="8"/>
      <c r="I38" s="10"/>
      <c r="J38" s="85">
        <f>SUM(J20,J35)</f>
        <v>8822507.5</v>
      </c>
    </row>
    <row r="39" spans="2:10" hidden="1" x14ac:dyDescent="0.3">
      <c r="B39" s="263"/>
      <c r="C39" s="263"/>
      <c r="D39" s="263"/>
      <c r="F39" s="9"/>
      <c r="I39" s="9"/>
    </row>
    <row r="40" spans="2:10" hidden="1" x14ac:dyDescent="0.3">
      <c r="B40" s="262" t="s">
        <v>171</v>
      </c>
      <c r="C40" s="262"/>
      <c r="D40" s="262"/>
      <c r="F40" s="9"/>
      <c r="I40" s="9"/>
    </row>
    <row r="41" spans="2:10" hidden="1" x14ac:dyDescent="0.3">
      <c r="B41" s="270" t="s">
        <v>68</v>
      </c>
      <c r="C41" s="270"/>
      <c r="D41" s="270"/>
      <c r="F41" s="9"/>
      <c r="I41" s="9"/>
    </row>
    <row r="42" spans="2:10" hidden="1" x14ac:dyDescent="0.3">
      <c r="B42" s="268" t="s">
        <v>172</v>
      </c>
      <c r="C42" s="268"/>
      <c r="D42" s="268"/>
      <c r="F42" s="15">
        <f>'Dashboard Control'!N15</f>
        <v>8400000</v>
      </c>
      <c r="I42" s="9"/>
    </row>
    <row r="43" spans="2:10" hidden="1" x14ac:dyDescent="0.3">
      <c r="B43" s="268" t="s">
        <v>173</v>
      </c>
      <c r="C43" s="268"/>
      <c r="D43" s="268"/>
      <c r="F43" s="15">
        <f>'Dashboard Control'!N37</f>
        <v>422507.5</v>
      </c>
      <c r="I43" s="9"/>
    </row>
    <row r="44" spans="2:10" hidden="1" x14ac:dyDescent="0.3">
      <c r="B44" s="271" t="s">
        <v>174</v>
      </c>
      <c r="C44" s="271"/>
      <c r="D44" s="271"/>
      <c r="E44" s="1"/>
      <c r="F44" s="27">
        <f>'Dashboard Control'!N17</f>
        <v>6075000</v>
      </c>
      <c r="I44" s="9"/>
    </row>
    <row r="45" spans="2:10" hidden="1" x14ac:dyDescent="0.3">
      <c r="B45" s="268" t="s">
        <v>81</v>
      </c>
      <c r="C45" s="268"/>
      <c r="D45" s="268"/>
      <c r="F45" s="15">
        <f>'Dashboard Control'!N18</f>
        <v>2747507.5</v>
      </c>
      <c r="I45" s="9"/>
    </row>
    <row r="46" spans="2:10" hidden="1" x14ac:dyDescent="0.3">
      <c r="F46" s="9"/>
      <c r="I46" s="9"/>
    </row>
    <row r="47" spans="2:10" hidden="1" x14ac:dyDescent="0.3"/>
    <row r="48" spans="2:10" hidden="1" x14ac:dyDescent="0.3"/>
    <row r="49" hidden="1" x14ac:dyDescent="0.3"/>
  </sheetData>
  <mergeCells count="39">
    <mergeCell ref="B5:D5"/>
    <mergeCell ref="B9:D9"/>
    <mergeCell ref="C1:E1"/>
    <mergeCell ref="F3:J3"/>
    <mergeCell ref="B13:D13"/>
    <mergeCell ref="B10:D10"/>
    <mergeCell ref="B12:D12"/>
    <mergeCell ref="B11:D11"/>
    <mergeCell ref="B4:J4"/>
    <mergeCell ref="B45:D45"/>
    <mergeCell ref="B25:D25"/>
    <mergeCell ref="B15:D15"/>
    <mergeCell ref="B30:D30"/>
    <mergeCell ref="B41:D41"/>
    <mergeCell ref="B42:D42"/>
    <mergeCell ref="B43:D43"/>
    <mergeCell ref="B44:D44"/>
    <mergeCell ref="B16:D16"/>
    <mergeCell ref="B17:D17"/>
    <mergeCell ref="B20:D20"/>
    <mergeCell ref="B21:D21"/>
    <mergeCell ref="B33:D33"/>
    <mergeCell ref="B24:D24"/>
    <mergeCell ref="B35:D35"/>
    <mergeCell ref="B38:D38"/>
    <mergeCell ref="B40:D40"/>
    <mergeCell ref="B36:D36"/>
    <mergeCell ref="B37:D37"/>
    <mergeCell ref="B39:D39"/>
    <mergeCell ref="B14:D14"/>
    <mergeCell ref="B34:D34"/>
    <mergeCell ref="B29:D29"/>
    <mergeCell ref="B26:D26"/>
    <mergeCell ref="B22:D22"/>
    <mergeCell ref="B19:D19"/>
    <mergeCell ref="B31:D31"/>
    <mergeCell ref="B32:D32"/>
    <mergeCell ref="B23:D23"/>
    <mergeCell ref="B28:D28"/>
  </mergeCells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EACDF-9704-4AA8-826E-7F03253FA8FD}">
  <dimension ref="B1:R65"/>
  <sheetViews>
    <sheetView showGridLines="0" tabSelected="1" zoomScale="98" zoomScaleNormal="98" workbookViewId="0">
      <pane ySplit="6" topLeftCell="A25" activePane="bottomLeft" state="frozen"/>
      <selection pane="bottomLeft" activeCell="B39" sqref="B39:D39"/>
    </sheetView>
  </sheetViews>
  <sheetFormatPr defaultRowHeight="14.4" x14ac:dyDescent="0.3"/>
  <cols>
    <col min="4" max="4" width="32.5546875" customWidth="1"/>
    <col min="5" max="5" width="16.44140625" bestFit="1" customWidth="1"/>
    <col min="6" max="6" width="6.33203125" bestFit="1" customWidth="1"/>
    <col min="7" max="7" width="15.33203125" customWidth="1"/>
    <col min="8" max="10" width="14.88671875" bestFit="1" customWidth="1"/>
    <col min="11" max="11" width="15.33203125" bestFit="1" customWidth="1"/>
    <col min="12" max="12" width="13.44140625" bestFit="1" customWidth="1"/>
    <col min="13" max="14" width="13.88671875" style="7" bestFit="1" customWidth="1"/>
    <col min="15" max="15" width="13.44140625" style="7" bestFit="1" customWidth="1"/>
  </cols>
  <sheetData>
    <row r="1" spans="2:15" ht="25.8" hidden="1" x14ac:dyDescent="0.5">
      <c r="H1" s="288" t="s">
        <v>0</v>
      </c>
      <c r="I1" s="288"/>
      <c r="J1" s="288"/>
      <c r="K1" s="288"/>
    </row>
    <row r="2" spans="2:15" ht="21" customHeight="1" x14ac:dyDescent="0.4">
      <c r="B2" s="5" t="s">
        <v>1</v>
      </c>
      <c r="C2" s="5"/>
      <c r="D2" s="5"/>
    </row>
    <row r="3" spans="2:15" ht="18" x14ac:dyDescent="0.35">
      <c r="B3" s="4" t="str">
        <f>'Dashboard Control'!B3</f>
        <v>Miller Building</v>
      </c>
      <c r="C3" s="4"/>
      <c r="D3" s="4"/>
    </row>
    <row r="4" spans="2:15" ht="27.6" x14ac:dyDescent="0.45">
      <c r="B4" s="151"/>
      <c r="E4" s="279" t="s">
        <v>2</v>
      </c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2:15" x14ac:dyDescent="0.3">
      <c r="E5" s="32">
        <v>1</v>
      </c>
      <c r="F5" s="250" t="s">
        <v>259</v>
      </c>
      <c r="G5" s="250">
        <v>2</v>
      </c>
      <c r="H5" s="32">
        <v>3</v>
      </c>
      <c r="I5" s="216">
        <v>4</v>
      </c>
      <c r="J5" s="216">
        <v>5</v>
      </c>
      <c r="K5" s="216">
        <v>6</v>
      </c>
      <c r="L5" s="216">
        <v>7</v>
      </c>
      <c r="M5" s="32">
        <v>8</v>
      </c>
      <c r="N5" s="32">
        <v>9</v>
      </c>
      <c r="O5" s="32">
        <v>10</v>
      </c>
    </row>
    <row r="6" spans="2:15" x14ac:dyDescent="0.3">
      <c r="E6" s="38"/>
      <c r="F6" s="251"/>
      <c r="G6" s="251"/>
      <c r="H6" s="38"/>
      <c r="I6" s="38"/>
      <c r="J6" s="38"/>
      <c r="K6" s="38"/>
      <c r="L6" s="38"/>
      <c r="M6" s="173"/>
      <c r="N6" s="173"/>
      <c r="O6" s="173"/>
    </row>
    <row r="7" spans="2:15" x14ac:dyDescent="0.3">
      <c r="B7" s="280" t="s">
        <v>3</v>
      </c>
      <c r="C7" s="280"/>
      <c r="D7" s="280"/>
      <c r="E7" s="7"/>
      <c r="F7" s="252"/>
      <c r="G7" s="252"/>
      <c r="H7" s="7"/>
      <c r="I7" s="7"/>
      <c r="J7" s="7"/>
      <c r="K7" s="7"/>
      <c r="L7" s="7"/>
    </row>
    <row r="8" spans="2:15" x14ac:dyDescent="0.3">
      <c r="B8" s="283" t="str">
        <f>'Rent Roll'!V37</f>
        <v>Total Potential Revenue</v>
      </c>
      <c r="C8" s="283"/>
      <c r="D8" s="283"/>
      <c r="E8" s="29">
        <f>'Rent Roll'!AC37</f>
        <v>1299158.5441383102</v>
      </c>
      <c r="F8" s="253"/>
      <c r="G8" s="253">
        <f>'Rent Roll'!AD37</f>
        <v>1302594.5268519763</v>
      </c>
      <c r="H8" s="29">
        <f>'Rent Roll'!AE37</f>
        <v>1312551.0484160059</v>
      </c>
      <c r="I8" s="29">
        <f>'Rent Roll'!AF37</f>
        <v>1322905.8308425967</v>
      </c>
      <c r="J8" s="29">
        <f>'Rent Roll'!AG37</f>
        <v>1359259.8328514241</v>
      </c>
      <c r="K8" s="29">
        <f>'Rent Roll'!AH37</f>
        <v>1383196.7755991668</v>
      </c>
      <c r="L8" s="29">
        <f>'Rent Roll'!AI37</f>
        <v>1394844.4975786714</v>
      </c>
      <c r="M8" s="29">
        <f>'Rent Roll'!AJ37</f>
        <v>1406958.1284373561</v>
      </c>
      <c r="N8" s="29">
        <f>'Rent Roll'!AK37</f>
        <v>1419556.3045303884</v>
      </c>
      <c r="O8" s="29">
        <f>'Rent Roll'!AL37</f>
        <v>1432658.4076671421</v>
      </c>
    </row>
    <row r="9" spans="2:15" x14ac:dyDescent="0.3">
      <c r="B9" s="284" t="str">
        <f>'Rent Roll'!V38</f>
        <v>Vacancy</v>
      </c>
      <c r="C9" s="284"/>
      <c r="D9" s="284"/>
      <c r="E9" s="29">
        <f>'Rent Roll'!AC38</f>
        <v>-74797.54413831023</v>
      </c>
      <c r="F9" s="253"/>
      <c r="G9" s="253">
        <f>'Rent Roll'!AD38</f>
        <v>-74995.366851976287</v>
      </c>
      <c r="H9" s="29">
        <f>'Rent Roll'!AE38</f>
        <v>-75568.602016005869</v>
      </c>
      <c r="I9" s="29">
        <f>'Rent Roll'!AF38</f>
        <v>-76164.766586596612</v>
      </c>
      <c r="J9" s="29">
        <f>'Rent Roll'!AG38</f>
        <v>-78257.806025184182</v>
      </c>
      <c r="K9" s="29">
        <f>'Rent Roll'!AH38</f>
        <v>-79635.947699877186</v>
      </c>
      <c r="L9" s="29">
        <f>'Rent Roll'!AI38</f>
        <v>-80306.551763410171</v>
      </c>
      <c r="M9" s="29">
        <f>'Rent Roll'!AJ38</f>
        <v>-81003.979989484491</v>
      </c>
      <c r="N9" s="29">
        <f>'Rent Roll'!AK38</f>
        <v>-81729.305344601773</v>
      </c>
      <c r="O9" s="29">
        <f>'Rent Roll'!AL38</f>
        <v>-82483.643713923782</v>
      </c>
    </row>
    <row r="10" spans="2:15" x14ac:dyDescent="0.3">
      <c r="B10" s="285" t="s">
        <v>139</v>
      </c>
      <c r="C10" s="285"/>
      <c r="D10" s="285"/>
      <c r="E10" s="93">
        <f>SUM(E8:E9)</f>
        <v>1224361</v>
      </c>
      <c r="F10" s="253"/>
      <c r="G10" s="253">
        <f t="shared" ref="G10:O10" si="0">SUM(G8:G9)</f>
        <v>1227599.1599999999</v>
      </c>
      <c r="H10" s="93">
        <f t="shared" si="0"/>
        <v>1236982.4464</v>
      </c>
      <c r="I10" s="93">
        <f t="shared" si="0"/>
        <v>1246741.0642560001</v>
      </c>
      <c r="J10" s="93">
        <f t="shared" si="0"/>
        <v>1281002.0268262399</v>
      </c>
      <c r="K10" s="93">
        <f t="shared" si="0"/>
        <v>1303560.8278992896</v>
      </c>
      <c r="L10" s="93">
        <f t="shared" si="0"/>
        <v>1314537.9458152612</v>
      </c>
      <c r="M10" s="93">
        <f t="shared" si="0"/>
        <v>1325954.1484478717</v>
      </c>
      <c r="N10" s="93">
        <f t="shared" si="0"/>
        <v>1337826.9991857866</v>
      </c>
      <c r="O10" s="93">
        <f t="shared" si="0"/>
        <v>1350174.7639532182</v>
      </c>
    </row>
    <row r="11" spans="2:15" x14ac:dyDescent="0.3">
      <c r="B11" s="271" t="s">
        <v>4</v>
      </c>
      <c r="C11" s="271"/>
      <c r="D11" s="271"/>
      <c r="E11" s="28"/>
      <c r="F11" s="254"/>
      <c r="G11" s="254"/>
      <c r="H11" s="28"/>
      <c r="I11" s="28"/>
      <c r="J11" s="28"/>
      <c r="K11" s="28"/>
      <c r="L11" s="28"/>
      <c r="M11" s="28"/>
      <c r="N11" s="28"/>
      <c r="O11" s="28"/>
    </row>
    <row r="12" spans="2:15" x14ac:dyDescent="0.3">
      <c r="B12" s="273" t="s">
        <v>5</v>
      </c>
      <c r="C12" s="273"/>
      <c r="D12" s="273"/>
      <c r="E12" s="14">
        <f>SUM(E10:E11)</f>
        <v>1224361</v>
      </c>
      <c r="F12" s="255"/>
      <c r="G12" s="255">
        <f t="shared" ref="G12:O12" si="1">SUM(G10:G11)</f>
        <v>1227599.1599999999</v>
      </c>
      <c r="H12" s="14">
        <f t="shared" si="1"/>
        <v>1236982.4464</v>
      </c>
      <c r="I12" s="14">
        <f t="shared" si="1"/>
        <v>1246741.0642560001</v>
      </c>
      <c r="J12" s="14">
        <f t="shared" si="1"/>
        <v>1281002.0268262399</v>
      </c>
      <c r="K12" s="14">
        <f t="shared" si="1"/>
        <v>1303560.8278992896</v>
      </c>
      <c r="L12" s="14">
        <f t="shared" si="1"/>
        <v>1314537.9458152612</v>
      </c>
      <c r="M12" s="29">
        <f t="shared" si="1"/>
        <v>1325954.1484478717</v>
      </c>
      <c r="N12" s="29">
        <f t="shared" si="1"/>
        <v>1337826.9991857866</v>
      </c>
      <c r="O12" s="29">
        <f t="shared" si="1"/>
        <v>1350174.7639532182</v>
      </c>
    </row>
    <row r="13" spans="2:15" x14ac:dyDescent="0.3">
      <c r="B13" s="282"/>
      <c r="C13" s="282"/>
      <c r="D13" s="282"/>
      <c r="E13" s="14"/>
      <c r="F13" s="255"/>
      <c r="G13" s="255"/>
      <c r="H13" s="14"/>
      <c r="I13" s="14"/>
      <c r="J13" s="14"/>
      <c r="K13" s="14"/>
      <c r="L13" s="14"/>
      <c r="M13" s="29"/>
      <c r="N13" s="29"/>
      <c r="O13" s="29"/>
    </row>
    <row r="14" spans="2:15" x14ac:dyDescent="0.3">
      <c r="B14" s="280" t="s">
        <v>6</v>
      </c>
      <c r="C14" s="280"/>
      <c r="D14" s="280"/>
      <c r="E14" s="29"/>
      <c r="F14" s="253"/>
      <c r="G14" s="253"/>
      <c r="H14" s="29"/>
      <c r="I14" s="29"/>
      <c r="J14" s="29"/>
      <c r="K14" s="29"/>
      <c r="L14" s="29"/>
      <c r="M14" s="29"/>
      <c r="N14" s="29"/>
      <c r="O14" s="29"/>
    </row>
    <row r="15" spans="2:15" x14ac:dyDescent="0.3">
      <c r="B15" s="268" t="str">
        <f>'Dashboard Control'!F22</f>
        <v>Taxes</v>
      </c>
      <c r="C15" s="268"/>
      <c r="D15" s="268"/>
      <c r="E15" s="36">
        <f>'Dashboard Control'!H22</f>
        <v>80000</v>
      </c>
      <c r="F15" s="256">
        <f>E15/SUM('Dashboard Control'!$D$29:$D$30)</f>
        <v>1.5353023586082484</v>
      </c>
      <c r="G15" s="255">
        <f>E15*(1+'Dashboard Control'!$H$36)</f>
        <v>83200</v>
      </c>
      <c r="H15" s="14">
        <f>G15*(1+'Dashboard Control'!$H$36)</f>
        <v>86528</v>
      </c>
      <c r="I15" s="14">
        <f>H15*(1+'Dashboard Control'!$H$36)</f>
        <v>89989.12000000001</v>
      </c>
      <c r="J15" s="14">
        <f>I15*(1+'Dashboard Control'!$H$36)</f>
        <v>93588.684800000017</v>
      </c>
      <c r="K15" s="14">
        <f>J15*(1+'Dashboard Control'!$H$36)</f>
        <v>97332.232192000025</v>
      </c>
      <c r="L15" s="14">
        <f>K15*(1+'Dashboard Control'!$H$36)</f>
        <v>101225.52147968003</v>
      </c>
      <c r="M15" s="29">
        <f>L15*(1+'Dashboard Control'!$H$36)</f>
        <v>105274.54233886724</v>
      </c>
      <c r="N15" s="29">
        <f>M15*(1+'Dashboard Control'!$H$36)</f>
        <v>109485.52403242193</v>
      </c>
      <c r="O15" s="29">
        <f>N15*(1+'Dashboard Control'!$H$36)</f>
        <v>113864.94499371882</v>
      </c>
    </row>
    <row r="16" spans="2:15" x14ac:dyDescent="0.3">
      <c r="B16" s="268" t="str">
        <f>'Dashboard Control'!F23</f>
        <v>Insurance</v>
      </c>
      <c r="C16" s="268"/>
      <c r="D16" s="268"/>
      <c r="E16" s="36">
        <f>'Dashboard Control'!H23</f>
        <v>25000</v>
      </c>
      <c r="F16" s="256">
        <f>E16/SUM('Dashboard Control'!$D$29:$D$30)</f>
        <v>0.47978198706507763</v>
      </c>
      <c r="G16" s="255">
        <f>E16*(1+'Dashboard Control'!$H$36)</f>
        <v>26000</v>
      </c>
      <c r="H16" s="14">
        <f>G16*(1+'Dashboard Control'!$H$36)</f>
        <v>27040</v>
      </c>
      <c r="I16" s="14">
        <f>H16*(1+'Dashboard Control'!$H$36)</f>
        <v>28121.600000000002</v>
      </c>
      <c r="J16" s="14">
        <f>I16*(1+'Dashboard Control'!$H$36)</f>
        <v>29246.464000000004</v>
      </c>
      <c r="K16" s="14">
        <f>J16*(1+'Dashboard Control'!$H$36)</f>
        <v>30416.322560000004</v>
      </c>
      <c r="L16" s="14">
        <f>K16*(1+'Dashboard Control'!$H$36)</f>
        <v>31632.975462400005</v>
      </c>
      <c r="M16" s="29">
        <f>L16*(1+'Dashboard Control'!$H$36)</f>
        <v>32898.294480896009</v>
      </c>
      <c r="N16" s="29">
        <f>M16*(1+'Dashboard Control'!$H$36)</f>
        <v>34214.226260131851</v>
      </c>
      <c r="O16" s="29">
        <f>N16*(1+'Dashboard Control'!$H$36)</f>
        <v>35582.795310537127</v>
      </c>
    </row>
    <row r="17" spans="2:18" x14ac:dyDescent="0.3">
      <c r="B17" s="268" t="str">
        <f>'Dashboard Control'!F24</f>
        <v>Cleaning</v>
      </c>
      <c r="C17" s="268"/>
      <c r="D17" s="268"/>
      <c r="E17" s="36">
        <f>'Dashboard Control'!$H$24</f>
        <v>70000</v>
      </c>
      <c r="F17" s="256">
        <f>E17/SUM('Dashboard Control'!$D$29:$D$30)</f>
        <v>1.3433895637822173</v>
      </c>
      <c r="G17" s="255">
        <f>E17*(1+'Dashboard Control'!$H$36)</f>
        <v>72800</v>
      </c>
      <c r="H17" s="14">
        <f>G17*(1+'Dashboard Control'!$H$36)</f>
        <v>75712</v>
      </c>
      <c r="I17" s="14">
        <f>H17*(1+'Dashboard Control'!$H$36)</f>
        <v>78740.479999999996</v>
      </c>
      <c r="J17" s="14">
        <f>I17*(1+'Dashboard Control'!$H$36)</f>
        <v>81890.099199999997</v>
      </c>
      <c r="K17" s="14">
        <f>J17*(1+'Dashboard Control'!$H$36)</f>
        <v>85165.703167999993</v>
      </c>
      <c r="L17" s="14">
        <f>K17*(1+'Dashboard Control'!$H$36)</f>
        <v>88572.331294719988</v>
      </c>
      <c r="M17" s="14">
        <f>L17*(1+'Dashboard Control'!$H$36)</f>
        <v>92115.224546508791</v>
      </c>
      <c r="N17" s="14">
        <f>M17*(1+'Dashboard Control'!$H$36)</f>
        <v>95799.833528369141</v>
      </c>
      <c r="O17" s="14">
        <f>N17*(1+'Dashboard Control'!$H$36)</f>
        <v>99631.826869503915</v>
      </c>
    </row>
    <row r="18" spans="2:18" x14ac:dyDescent="0.3">
      <c r="B18" s="268" t="str">
        <f>'Dashboard Control'!F25</f>
        <v>Elevator Maintenance</v>
      </c>
      <c r="C18" s="268"/>
      <c r="D18" s="268"/>
      <c r="E18" s="36">
        <f>'Dashboard Control'!H25</f>
        <v>15000</v>
      </c>
      <c r="F18" s="256">
        <f>E18/SUM('Dashboard Control'!$D$29:$D$30)</f>
        <v>0.28786919223904656</v>
      </c>
      <c r="G18" s="255">
        <f>E18*(1+'Dashboard Control'!$H$36)</f>
        <v>15600</v>
      </c>
      <c r="H18" s="14">
        <f>G18*(1+'Dashboard Control'!$H$36)</f>
        <v>16224</v>
      </c>
      <c r="I18" s="14">
        <f>H18*(1+'Dashboard Control'!$H$36)</f>
        <v>16872.96</v>
      </c>
      <c r="J18" s="14">
        <f>I18*(1+'Dashboard Control'!$H$36)</f>
        <v>17547.878400000001</v>
      </c>
      <c r="K18" s="14">
        <f>J18*(1+'Dashboard Control'!$H$36)</f>
        <v>18249.793536000001</v>
      </c>
      <c r="L18" s="14">
        <f>K18*(1+'Dashboard Control'!$H$36)</f>
        <v>18979.785277440002</v>
      </c>
      <c r="M18" s="29">
        <f>L18*(1+'Dashboard Control'!$H$36)</f>
        <v>19738.976688537601</v>
      </c>
      <c r="N18" s="29">
        <f>M18*(1+'Dashboard Control'!$H$36)</f>
        <v>20528.535756079105</v>
      </c>
      <c r="O18" s="29">
        <f>N18*(1+'Dashboard Control'!$H$36)</f>
        <v>21349.677186322271</v>
      </c>
    </row>
    <row r="19" spans="2:18" s="7" customFormat="1" x14ac:dyDescent="0.3">
      <c r="B19" s="281" t="str">
        <f>'Dashboard Control'!F26</f>
        <v>Water &amp; Sewer</v>
      </c>
      <c r="C19" s="281"/>
      <c r="D19" s="281"/>
      <c r="E19" s="93">
        <f>'Dashboard Control'!H26</f>
        <v>5000</v>
      </c>
      <c r="F19" s="256">
        <f>E19/SUM('Dashboard Control'!$D$29:$D$30)</f>
        <v>9.5956397413015523E-2</v>
      </c>
      <c r="G19" s="253">
        <f>E19*(1+'Dashboard Control'!$H$36)</f>
        <v>5200</v>
      </c>
      <c r="H19" s="29">
        <f>G19*(1+'Dashboard Control'!$H$36)</f>
        <v>5408</v>
      </c>
      <c r="I19" s="29">
        <f>H19*(1+'Dashboard Control'!$H$36)</f>
        <v>5624.3200000000006</v>
      </c>
      <c r="J19" s="29">
        <f>I19*(1+'Dashboard Control'!$H$36)</f>
        <v>5849.2928000000011</v>
      </c>
      <c r="K19" s="29">
        <f>J19*(1+'Dashboard Control'!$H$36)</f>
        <v>6083.2645120000016</v>
      </c>
      <c r="L19" s="29">
        <f>K19*(1+'Dashboard Control'!$H$36)</f>
        <v>6326.5950924800018</v>
      </c>
      <c r="M19" s="29">
        <f>L19*(1+'Dashboard Control'!$H$36)</f>
        <v>6579.6588961792022</v>
      </c>
      <c r="N19" s="29">
        <f>M19*(1+'Dashboard Control'!$H$36)</f>
        <v>6842.8452520263709</v>
      </c>
      <c r="O19" s="29">
        <f>N19*(1+'Dashboard Control'!$H$36)</f>
        <v>7116.5590621074261</v>
      </c>
    </row>
    <row r="20" spans="2:18" x14ac:dyDescent="0.3">
      <c r="B20" s="268" t="str">
        <f>'Dashboard Control'!F27</f>
        <v>Gas Heat</v>
      </c>
      <c r="C20" s="268"/>
      <c r="D20" s="268"/>
      <c r="E20" s="36">
        <f>'Dashboard Control'!H27</f>
        <v>80000</v>
      </c>
      <c r="F20" s="256">
        <f>E20/SUM('Dashboard Control'!$D$29:$D$30)</f>
        <v>1.5353023586082484</v>
      </c>
      <c r="G20" s="255">
        <f>E20*(1+'Dashboard Control'!$H$36)</f>
        <v>83200</v>
      </c>
      <c r="H20" s="14">
        <f>G20*(1+'Dashboard Control'!$H$36)</f>
        <v>86528</v>
      </c>
      <c r="I20" s="14">
        <f>H20*(1+'Dashboard Control'!$H$36)</f>
        <v>89989.12000000001</v>
      </c>
      <c r="J20" s="14">
        <f>I20*(1+'Dashboard Control'!$H$36)</f>
        <v>93588.684800000017</v>
      </c>
      <c r="K20" s="14">
        <f>J20*(1+'Dashboard Control'!$H$36)</f>
        <v>97332.232192000025</v>
      </c>
      <c r="L20" s="14">
        <f>K20*(1+'Dashboard Control'!$H$36)</f>
        <v>101225.52147968003</v>
      </c>
      <c r="M20" s="29">
        <f>L20*(1+'Dashboard Control'!$H$36)</f>
        <v>105274.54233886724</v>
      </c>
      <c r="N20" s="29">
        <f>M20*(1+'Dashboard Control'!$H$36)</f>
        <v>109485.52403242193</v>
      </c>
      <c r="O20" s="29">
        <f>N20*(1+'Dashboard Control'!$H$36)</f>
        <v>113864.94499371882</v>
      </c>
    </row>
    <row r="21" spans="2:18" x14ac:dyDescent="0.3">
      <c r="B21" s="268" t="str">
        <f>'Dashboard Control'!F28</f>
        <v>Trash</v>
      </c>
      <c r="C21" s="268"/>
      <c r="D21" s="268"/>
      <c r="E21" s="36">
        <f>'Dashboard Control'!H28</f>
        <v>5000</v>
      </c>
      <c r="F21" s="256">
        <f>E21/SUM('Dashboard Control'!$D$29:$D$30)</f>
        <v>9.5956397413015523E-2</v>
      </c>
      <c r="G21" s="255">
        <f>E21*(1+'Dashboard Control'!$H$36)</f>
        <v>5200</v>
      </c>
      <c r="H21" s="14">
        <f>G21*(1+'Dashboard Control'!$H$36)</f>
        <v>5408</v>
      </c>
      <c r="I21" s="14">
        <f>H21*(1+'Dashboard Control'!$H$36)</f>
        <v>5624.3200000000006</v>
      </c>
      <c r="J21" s="14">
        <f>I21*(1+'Dashboard Control'!$H$36)</f>
        <v>5849.2928000000011</v>
      </c>
      <c r="K21" s="14">
        <f>J21*(1+'Dashboard Control'!$H$36)</f>
        <v>6083.2645120000016</v>
      </c>
      <c r="L21" s="14">
        <f>K21*(1+'Dashboard Control'!$H$36)</f>
        <v>6326.5950924800018</v>
      </c>
      <c r="M21" s="29">
        <f>L21*(1+'Dashboard Control'!$H$36)</f>
        <v>6579.6588961792022</v>
      </c>
      <c r="N21" s="29">
        <f>M21*(1+'Dashboard Control'!$H$36)</f>
        <v>6842.8452520263709</v>
      </c>
      <c r="O21" s="29">
        <f>N21*(1+'Dashboard Control'!$H$36)</f>
        <v>7116.5590621074261</v>
      </c>
    </row>
    <row r="22" spans="2:18" x14ac:dyDescent="0.3">
      <c r="B22" s="268" t="str">
        <f>'Dashboard Control'!F29</f>
        <v>Electric</v>
      </c>
      <c r="C22" s="268"/>
      <c r="D22" s="268"/>
      <c r="E22" s="36">
        <f>'Dashboard Control'!H29</f>
        <v>50000</v>
      </c>
      <c r="F22" s="256">
        <f>E22/SUM('Dashboard Control'!$D$29:$D$30)</f>
        <v>0.95956397413015526</v>
      </c>
      <c r="G22" s="255">
        <f>E22*(1+'Dashboard Control'!$H$36)</f>
        <v>52000</v>
      </c>
      <c r="H22" s="14">
        <f>G22*(1+'Dashboard Control'!$H$36)</f>
        <v>54080</v>
      </c>
      <c r="I22" s="14">
        <f>H22*(1+'Dashboard Control'!$H$36)</f>
        <v>56243.200000000004</v>
      </c>
      <c r="J22" s="14">
        <f>I22*(1+'Dashboard Control'!$H$36)</f>
        <v>58492.928000000007</v>
      </c>
      <c r="K22" s="14">
        <f>J22*(1+'Dashboard Control'!$H$36)</f>
        <v>60832.645120000008</v>
      </c>
      <c r="L22" s="14">
        <f>K22*(1+'Dashboard Control'!$H$36)</f>
        <v>63265.95092480001</v>
      </c>
      <c r="M22" s="29">
        <f>L22*(1+'Dashboard Control'!$H$36)</f>
        <v>65796.588961792018</v>
      </c>
      <c r="N22" s="29">
        <f>M22*(1+'Dashboard Control'!$H$36)</f>
        <v>68428.452520263701</v>
      </c>
      <c r="O22" s="29">
        <f>N22*(1+'Dashboard Control'!$H$36)</f>
        <v>71165.590621074254</v>
      </c>
    </row>
    <row r="23" spans="2:18" x14ac:dyDescent="0.3">
      <c r="B23" s="268" t="str">
        <f>'Dashboard Control'!F30</f>
        <v>Landscaping/ Snow</v>
      </c>
      <c r="C23" s="268"/>
      <c r="D23" s="268"/>
      <c r="E23" s="36">
        <f>'Dashboard Control'!H30</f>
        <v>10000</v>
      </c>
      <c r="F23" s="256">
        <f>E23/SUM('Dashboard Control'!$D$29:$D$30)</f>
        <v>0.19191279482603105</v>
      </c>
      <c r="G23" s="255">
        <f>E23*(1+'Dashboard Control'!$H$36)</f>
        <v>10400</v>
      </c>
      <c r="H23" s="14">
        <f>G23*(1+'Dashboard Control'!$H$36)</f>
        <v>10816</v>
      </c>
      <c r="I23" s="14">
        <f>H23*(1+'Dashboard Control'!$H$36)</f>
        <v>11248.640000000001</v>
      </c>
      <c r="J23" s="14">
        <f>I23*(1+'Dashboard Control'!$H$36)</f>
        <v>11698.585600000002</v>
      </c>
      <c r="K23" s="14">
        <f>J23*(1+'Dashboard Control'!$H$36)</f>
        <v>12166.529024000003</v>
      </c>
      <c r="L23" s="14">
        <f>K23*(1+'Dashboard Control'!$H$36)</f>
        <v>12653.190184960004</v>
      </c>
      <c r="M23" s="29">
        <f>L23*(1+'Dashboard Control'!$H$36)</f>
        <v>13159.317792358404</v>
      </c>
      <c r="N23" s="29">
        <f>M23*(1+'Dashboard Control'!$H$36)</f>
        <v>13685.690504052742</v>
      </c>
      <c r="O23" s="29">
        <f>N23*(1+'Dashboard Control'!$H$36)</f>
        <v>14233.118124214852</v>
      </c>
    </row>
    <row r="24" spans="2:18" x14ac:dyDescent="0.3">
      <c r="B24" s="268" t="str">
        <f>'Dashboard Control'!F31</f>
        <v>Advertising</v>
      </c>
      <c r="C24" s="268"/>
      <c r="D24" s="268"/>
      <c r="E24" s="36">
        <f>'Dashboard Control'!H31</f>
        <v>4000</v>
      </c>
      <c r="F24" s="256">
        <f>E24/SUM('Dashboard Control'!$D$29:$D$30)</f>
        <v>7.6765117930412421E-2</v>
      </c>
      <c r="G24" s="255">
        <f>E24*(1+'Dashboard Control'!$H$36)</f>
        <v>4160</v>
      </c>
      <c r="H24" s="14">
        <f>G24*(1+'Dashboard Control'!$H$36)</f>
        <v>4326.4000000000005</v>
      </c>
      <c r="I24" s="14">
        <f>H24*(1+'Dashboard Control'!$H$36)</f>
        <v>4499.456000000001</v>
      </c>
      <c r="J24" s="14">
        <f>I24*(1+'Dashboard Control'!$H$36)</f>
        <v>4679.4342400000014</v>
      </c>
      <c r="K24" s="14">
        <f>J24*(1+'Dashboard Control'!$H$36)</f>
        <v>4866.6116096000014</v>
      </c>
      <c r="L24" s="14">
        <f>K24*(1+'Dashboard Control'!$H$36)</f>
        <v>5061.2760739840014</v>
      </c>
      <c r="M24" s="29">
        <f>L24*(1+'Dashboard Control'!$H$36)</f>
        <v>5263.7271169433616</v>
      </c>
      <c r="N24" s="29">
        <f>M24*(1+'Dashboard Control'!$H$36)</f>
        <v>5474.2762016210963</v>
      </c>
      <c r="O24" s="29">
        <f>N24*(1+'Dashboard Control'!$H$36)</f>
        <v>5693.24724968594</v>
      </c>
    </row>
    <row r="25" spans="2:18" x14ac:dyDescent="0.3">
      <c r="B25" s="268" t="str">
        <f>'Dashboard Control'!F32</f>
        <v>Property Management Rate</v>
      </c>
      <c r="C25" s="268"/>
      <c r="D25" s="268"/>
      <c r="E25" s="36">
        <f>'Dashboard Control'!$G$32*'Cash Flow 10 Yr'!E12</f>
        <v>36730.83</v>
      </c>
      <c r="F25" s="256">
        <f>E25/SUM('Dashboard Control'!$D$29:$D$30)</f>
        <v>0.7049116241579827</v>
      </c>
      <c r="G25" s="255">
        <f>'Dashboard Control'!$G$32*'Cash Flow 10 Yr'!G12</f>
        <v>36827.974799999996</v>
      </c>
      <c r="H25" s="36">
        <f>'Dashboard Control'!$G$32*'Cash Flow 10 Yr'!H12</f>
        <v>37109.473392</v>
      </c>
      <c r="I25" s="36">
        <f>'Dashboard Control'!$G$32*'Cash Flow 10 Yr'!I12</f>
        <v>37402.231927680004</v>
      </c>
      <c r="J25" s="36">
        <f>'Dashboard Control'!$G$32*'Cash Flow 10 Yr'!J12</f>
        <v>38430.060804787194</v>
      </c>
      <c r="K25" s="36">
        <f>'Dashboard Control'!$G$32*'Cash Flow 10 Yr'!K12</f>
        <v>39106.824836978682</v>
      </c>
      <c r="L25" s="36">
        <f>'Dashboard Control'!$G$32*'Cash Flow 10 Yr'!L12</f>
        <v>39436.138374457834</v>
      </c>
      <c r="M25" s="93">
        <f>'Dashboard Control'!$G$32*'Cash Flow 10 Yr'!M12</f>
        <v>39778.624453436147</v>
      </c>
      <c r="N25" s="93">
        <f>'Dashboard Control'!$G$32*'Cash Flow 10 Yr'!N12</f>
        <v>40134.809975573597</v>
      </c>
      <c r="O25" s="93">
        <f>'Dashboard Control'!$G$32*'Cash Flow 10 Yr'!O12</f>
        <v>40505.242918596545</v>
      </c>
      <c r="P25" s="3"/>
    </row>
    <row r="26" spans="2:18" x14ac:dyDescent="0.3">
      <c r="B26" s="268" t="str">
        <f>'Dashboard Control'!F33</f>
        <v>Asset Management Fee</v>
      </c>
      <c r="C26" s="268"/>
      <c r="D26" s="268"/>
      <c r="E26" s="36">
        <f>'Dashboard Control'!$G$33*'Cash Flow 10 Yr'!E12</f>
        <v>12243.61</v>
      </c>
      <c r="F26" s="256">
        <f>E26/SUM('Dashboard Control'!$D$29:$D$30)</f>
        <v>0.23497054138599421</v>
      </c>
      <c r="G26" s="255">
        <f>'Dashboard Control'!$G$33*'Cash Flow 10 Yr'!G12</f>
        <v>12275.991599999999</v>
      </c>
      <c r="H26" s="36">
        <f>'Dashboard Control'!$G$33*'Cash Flow 10 Yr'!H12</f>
        <v>12369.824464000001</v>
      </c>
      <c r="I26" s="36">
        <f>'Dashboard Control'!$G$33*'Cash Flow 10 Yr'!I12</f>
        <v>12467.410642560002</v>
      </c>
      <c r="J26" s="36">
        <f>'Dashboard Control'!$G$33*'Cash Flow 10 Yr'!J12</f>
        <v>12810.020268262399</v>
      </c>
      <c r="K26" s="36">
        <f>'Dashboard Control'!$G$33*'Cash Flow 10 Yr'!K12</f>
        <v>13035.608278992895</v>
      </c>
      <c r="L26" s="36">
        <f>'Dashboard Control'!$G$33*'Cash Flow 10 Yr'!L12</f>
        <v>13145.379458152613</v>
      </c>
      <c r="M26" s="93">
        <f>'Dashboard Control'!$G$33*'Cash Flow 10 Yr'!M12</f>
        <v>13259.541484478717</v>
      </c>
      <c r="N26" s="93">
        <f>'Dashboard Control'!$G$33*'Cash Flow 10 Yr'!N12</f>
        <v>13378.269991857866</v>
      </c>
      <c r="O26" s="93">
        <f>'Dashboard Control'!$G$33*'Cash Flow 10 Yr'!O12</f>
        <v>13501.747639532183</v>
      </c>
      <c r="P26" s="3"/>
    </row>
    <row r="27" spans="2:18" x14ac:dyDescent="0.3">
      <c r="B27" s="268" t="str">
        <f>'Dashboard Control'!F34</f>
        <v>Repair &amp; Maintenance</v>
      </c>
      <c r="C27" s="268"/>
      <c r="D27" s="268"/>
      <c r="E27" s="36">
        <f>'Dashboard Control'!$G$34*'Cash Flow 10 Yr'!E12</f>
        <v>61218.05</v>
      </c>
      <c r="F27" s="256">
        <f>E27/SUM('Dashboard Control'!$D$29:$D$30)</f>
        <v>1.174852706929971</v>
      </c>
      <c r="G27" s="255">
        <f>'Dashboard Control'!$G$34*'Cash Flow 10 Yr'!G12</f>
        <v>61379.957999999999</v>
      </c>
      <c r="H27" s="36">
        <f>'Dashboard Control'!$G$34*'Cash Flow 10 Yr'!H12</f>
        <v>61849.122320000002</v>
      </c>
      <c r="I27" s="36">
        <f>'Dashboard Control'!$G$34*'Cash Flow 10 Yr'!I12</f>
        <v>62337.053212800005</v>
      </c>
      <c r="J27" s="36">
        <f>'Dashboard Control'!$G$34*'Cash Flow 10 Yr'!J12</f>
        <v>64050.101341311994</v>
      </c>
      <c r="K27" s="36">
        <f>'Dashboard Control'!$G$34*'Cash Flow 10 Yr'!K12</f>
        <v>65178.041394964479</v>
      </c>
      <c r="L27" s="36">
        <f>'Dashboard Control'!$G$34*'Cash Flow 10 Yr'!L12</f>
        <v>65726.897290763067</v>
      </c>
      <c r="M27" s="93">
        <f>'Dashboard Control'!$G$34*'Cash Flow 10 Yr'!M12</f>
        <v>66297.707422393592</v>
      </c>
      <c r="N27" s="93">
        <f>'Dashboard Control'!$G$34*'Cash Flow 10 Yr'!N12</f>
        <v>66891.349959289335</v>
      </c>
      <c r="O27" s="93">
        <f>'Dashboard Control'!$G$34*'Cash Flow 10 Yr'!O12</f>
        <v>67508.738197660918</v>
      </c>
      <c r="P27" s="3"/>
    </row>
    <row r="28" spans="2:18" x14ac:dyDescent="0.3">
      <c r="B28" s="271" t="str">
        <f>'Dashboard Control'!F35</f>
        <v>Legal &amp; Accounting</v>
      </c>
      <c r="C28" s="271"/>
      <c r="D28" s="271"/>
      <c r="E28" s="28">
        <f>'Dashboard Control'!H35</f>
        <v>3000</v>
      </c>
      <c r="F28" s="257">
        <f>E28/SUM('Dashboard Control'!$D$29:$D$30)</f>
        <v>5.7573838447809313E-2</v>
      </c>
      <c r="G28" s="254">
        <f>E28*(1+'Dashboard Control'!$H$36)</f>
        <v>3120</v>
      </c>
      <c r="H28" s="28">
        <f>G28*(1+'Dashboard Control'!$H$36)</f>
        <v>3244.8</v>
      </c>
      <c r="I28" s="28">
        <f>H28*(1+'Dashboard Control'!$H$36)</f>
        <v>3374.5920000000001</v>
      </c>
      <c r="J28" s="28">
        <f>I28*(1+'Dashboard Control'!$H$36)</f>
        <v>3509.5756800000004</v>
      </c>
      <c r="K28" s="28">
        <f>J28*(1+'Dashboard Control'!$H$36)</f>
        <v>3649.9587072000004</v>
      </c>
      <c r="L28" s="28">
        <f>K28*(1+'Dashboard Control'!$H$36)</f>
        <v>3795.9570554880006</v>
      </c>
      <c r="M28" s="174">
        <f>L28*(1+'Dashboard Control'!$H$36)</f>
        <v>3947.795337707521</v>
      </c>
      <c r="N28" s="174">
        <f>M28*(1+'Dashboard Control'!$H$36)</f>
        <v>4105.7071512158218</v>
      </c>
      <c r="O28" s="174">
        <f>N28*(1+'Dashboard Control'!$H$36)</f>
        <v>4269.9354372644548</v>
      </c>
      <c r="P28" s="6"/>
      <c r="Q28" s="6"/>
      <c r="R28" s="6"/>
    </row>
    <row r="29" spans="2:18" x14ac:dyDescent="0.3">
      <c r="B29" s="273" t="s">
        <v>7</v>
      </c>
      <c r="C29" s="273"/>
      <c r="D29" s="273"/>
      <c r="E29" s="14">
        <f t="shared" ref="E29:O29" si="2">SUM(E15:E28)</f>
        <v>457192.49</v>
      </c>
      <c r="F29" s="256">
        <f>E29/SUM('Dashboard Control'!$D$29:$D$30)</f>
        <v>8.7741088529372249</v>
      </c>
      <c r="G29" s="255">
        <f t="shared" si="2"/>
        <v>471363.92439999996</v>
      </c>
      <c r="H29" s="14">
        <f t="shared" si="2"/>
        <v>486643.62017600005</v>
      </c>
      <c r="I29" s="14">
        <f t="shared" si="2"/>
        <v>502534.5037830401</v>
      </c>
      <c r="J29" s="14">
        <f t="shared" si="2"/>
        <v>521231.10273436166</v>
      </c>
      <c r="K29" s="14">
        <f t="shared" si="2"/>
        <v>539499.03164373606</v>
      </c>
      <c r="L29" s="14">
        <f t="shared" si="2"/>
        <v>557374.11454148567</v>
      </c>
      <c r="M29" s="29">
        <f t="shared" si="2"/>
        <v>575964.20075514505</v>
      </c>
      <c r="N29" s="29">
        <f t="shared" si="2"/>
        <v>595297.89041735092</v>
      </c>
      <c r="O29" s="29">
        <f t="shared" si="2"/>
        <v>615404.92766604503</v>
      </c>
    </row>
    <row r="30" spans="2:18" x14ac:dyDescent="0.3">
      <c r="B30" s="282"/>
      <c r="C30" s="282"/>
      <c r="D30" s="282"/>
      <c r="E30" s="14"/>
      <c r="F30" s="36"/>
      <c r="G30" s="14"/>
      <c r="H30" s="14"/>
      <c r="I30" s="14"/>
      <c r="J30" s="14"/>
      <c r="K30" s="14"/>
      <c r="L30" s="14"/>
      <c r="M30" s="29"/>
      <c r="N30" s="29"/>
      <c r="O30" s="29"/>
    </row>
    <row r="31" spans="2:18" x14ac:dyDescent="0.3">
      <c r="B31" s="274" t="s">
        <v>8</v>
      </c>
      <c r="C31" s="274"/>
      <c r="D31" s="274"/>
      <c r="E31" s="26">
        <f>E12-E29</f>
        <v>767168.51</v>
      </c>
      <c r="F31" s="26"/>
      <c r="G31" s="26">
        <f t="shared" ref="G31:N31" si="3">G12-G29</f>
        <v>756235.23560000001</v>
      </c>
      <c r="H31" s="26">
        <f t="shared" si="3"/>
        <v>750338.82622399996</v>
      </c>
      <c r="I31" s="26">
        <f t="shared" si="3"/>
        <v>744206.56047296</v>
      </c>
      <c r="J31" s="26">
        <f t="shared" si="3"/>
        <v>759770.92409187823</v>
      </c>
      <c r="K31" s="26">
        <f t="shared" si="3"/>
        <v>764061.79625555349</v>
      </c>
      <c r="L31" s="26">
        <f t="shared" si="3"/>
        <v>757163.83127377555</v>
      </c>
      <c r="M31" s="26">
        <f t="shared" si="3"/>
        <v>749989.94769272662</v>
      </c>
      <c r="N31" s="26">
        <f t="shared" si="3"/>
        <v>742529.10876843566</v>
      </c>
      <c r="O31" s="26">
        <f>O12-O29</f>
        <v>734769.83628717321</v>
      </c>
    </row>
    <row r="32" spans="2:18" x14ac:dyDescent="0.3">
      <c r="B32" s="282"/>
      <c r="C32" s="282"/>
      <c r="D32" s="282"/>
      <c r="E32" s="14"/>
      <c r="F32" s="14"/>
      <c r="G32" s="14"/>
      <c r="H32" s="14"/>
      <c r="I32" s="14"/>
      <c r="J32" s="14"/>
      <c r="K32" s="14"/>
      <c r="L32" s="14"/>
      <c r="M32" s="29"/>
      <c r="N32" s="29"/>
      <c r="O32" s="29"/>
    </row>
    <row r="33" spans="2:15" x14ac:dyDescent="0.3">
      <c r="B33" s="280" t="s">
        <v>9</v>
      </c>
      <c r="C33" s="280"/>
      <c r="D33" s="280"/>
      <c r="E33" s="14"/>
      <c r="F33" s="14"/>
      <c r="G33" s="14"/>
      <c r="H33" s="14"/>
      <c r="I33" s="14"/>
      <c r="J33" s="14"/>
      <c r="K33" s="14"/>
      <c r="L33" s="14"/>
      <c r="M33" s="29"/>
      <c r="N33" s="29"/>
      <c r="O33" s="29"/>
    </row>
    <row r="34" spans="2:15" x14ac:dyDescent="0.3">
      <c r="B34" s="282" t="s">
        <v>10</v>
      </c>
      <c r="C34" s="282"/>
      <c r="D34" s="282"/>
      <c r="E34" s="39">
        <f>Amorization!P22</f>
        <v>-187796.76844649596</v>
      </c>
      <c r="F34" s="258"/>
      <c r="G34" s="39">
        <f>Amorization!P34</f>
        <v>-196796.25341110685</v>
      </c>
      <c r="H34" s="39">
        <f>Amorization!P46</f>
        <v>-206227.00633787815</v>
      </c>
      <c r="I34" s="39">
        <f>Amorization!P58</f>
        <v>-216109.69419341072</v>
      </c>
      <c r="J34" s="39">
        <f>Amorization!P70</f>
        <v>-226465.97433437794</v>
      </c>
      <c r="K34" s="39">
        <f>Amorization!P82</f>
        <v>-237318.54196840958</v>
      </c>
      <c r="L34" s="39">
        <f>Amorization!P94</f>
        <v>-248691.17988936818</v>
      </c>
      <c r="M34" s="39">
        <f>Amorization!P106</f>
        <v>-260608.81059600812</v>
      </c>
      <c r="N34" s="39">
        <f>Amorization!P118</f>
        <v>-273097.55090823618</v>
      </c>
      <c r="O34" s="39">
        <f>Amorization!P130</f>
        <v>-286184.76920065819</v>
      </c>
    </row>
    <row r="35" spans="2:15" x14ac:dyDescent="0.3">
      <c r="B35" s="282" t="s">
        <v>11</v>
      </c>
      <c r="C35" s="282"/>
      <c r="D35" s="282"/>
      <c r="E35" s="40">
        <f>Amorization!O22</f>
        <v>-280914.76833571069</v>
      </c>
      <c r="F35" s="259"/>
      <c r="G35" s="40">
        <f>Amorization!O34</f>
        <v>-271915.28337109985</v>
      </c>
      <c r="H35" s="40">
        <f>Amorization!O46</f>
        <v>-262484.53044432844</v>
      </c>
      <c r="I35" s="40">
        <f>Amorization!O58</f>
        <v>-252601.84258879593</v>
      </c>
      <c r="J35" s="40">
        <f>Amorization!O70</f>
        <v>-242245.56244782871</v>
      </c>
      <c r="K35" s="40">
        <f>Amorization!O82</f>
        <v>-231392.99481379704</v>
      </c>
      <c r="L35" s="40">
        <f>Amorization!O94</f>
        <v>-220020.35689283849</v>
      </c>
      <c r="M35" s="40">
        <f>Amorization!O106</f>
        <v>-208102.72618619853</v>
      </c>
      <c r="N35" s="40">
        <f>Amorization!O118</f>
        <v>-195613.98587397047</v>
      </c>
      <c r="O35" s="40">
        <f>Amorization!O130</f>
        <v>-182526.76758154845</v>
      </c>
    </row>
    <row r="36" spans="2:15" x14ac:dyDescent="0.3">
      <c r="B36" s="265" t="s">
        <v>12</v>
      </c>
      <c r="C36" s="265"/>
      <c r="D36" s="265"/>
      <c r="E36" s="15">
        <f>SUM(E34:E35)</f>
        <v>-468711.53678220662</v>
      </c>
      <c r="F36" s="36"/>
      <c r="G36" s="15">
        <f t="shared" ref="G36:O36" si="4">SUM(G34:G35)</f>
        <v>-468711.53678220673</v>
      </c>
      <c r="H36" s="15">
        <f t="shared" si="4"/>
        <v>-468711.53678220662</v>
      </c>
      <c r="I36" s="15">
        <f t="shared" si="4"/>
        <v>-468711.53678220662</v>
      </c>
      <c r="J36" s="15">
        <f t="shared" si="4"/>
        <v>-468711.53678220662</v>
      </c>
      <c r="K36" s="15">
        <f t="shared" si="4"/>
        <v>-468711.53678220662</v>
      </c>
      <c r="L36" s="15">
        <f t="shared" si="4"/>
        <v>-468711.53678220668</v>
      </c>
      <c r="M36" s="175">
        <f t="shared" si="4"/>
        <v>-468711.53678220662</v>
      </c>
      <c r="N36" s="175">
        <f t="shared" si="4"/>
        <v>-468711.53678220662</v>
      </c>
      <c r="O36" s="175">
        <f t="shared" si="4"/>
        <v>-468711.53678220662</v>
      </c>
    </row>
    <row r="37" spans="2:15" x14ac:dyDescent="0.3">
      <c r="B37" s="301" t="s">
        <v>266</v>
      </c>
      <c r="C37" s="301"/>
      <c r="D37" s="301"/>
      <c r="E37" s="302">
        <f>Amorization!M22</f>
        <v>5887203.2315535024</v>
      </c>
      <c r="F37" s="302"/>
      <c r="G37" s="302">
        <f>Amorization!M34</f>
        <v>5690406.9781423965</v>
      </c>
      <c r="H37" s="302">
        <f>Amorization!M46</f>
        <v>5484179.9718045192</v>
      </c>
      <c r="I37" s="302">
        <f>Amorization!M58</f>
        <v>5268070.2776111076</v>
      </c>
      <c r="J37" s="302">
        <f>Amorization!M70</f>
        <v>5041604.3032767288</v>
      </c>
      <c r="K37" s="302">
        <f>Amorization!M82</f>
        <v>4804285.7613083189</v>
      </c>
      <c r="L37" s="302">
        <f>Amorization!M94</f>
        <v>4555594.5814189492</v>
      </c>
      <c r="M37" s="303">
        <f>Amorization!M106</f>
        <v>4294985.7708229395</v>
      </c>
      <c r="N37" s="303">
        <f>Amorization!M118</f>
        <v>4021888.2199147022</v>
      </c>
      <c r="O37" s="303">
        <f>Amorization!M130</f>
        <v>3735703.4507140447</v>
      </c>
    </row>
    <row r="38" spans="2:15" x14ac:dyDescent="0.3">
      <c r="B38" s="282"/>
      <c r="C38" s="282"/>
      <c r="D38" s="282"/>
      <c r="E38" s="14"/>
      <c r="F38" s="14"/>
      <c r="G38" s="14"/>
      <c r="H38" s="14"/>
      <c r="I38" s="14"/>
      <c r="J38" s="14"/>
      <c r="K38" s="14"/>
      <c r="L38" s="14"/>
      <c r="M38" s="29"/>
      <c r="N38" s="29"/>
      <c r="O38" s="29"/>
    </row>
    <row r="39" spans="2:15" x14ac:dyDescent="0.3">
      <c r="B39" s="274" t="s">
        <v>13</v>
      </c>
      <c r="C39" s="274"/>
      <c r="D39" s="274"/>
      <c r="E39" s="30">
        <f>SUM(E31,E36)</f>
        <v>298456.97321779339</v>
      </c>
      <c r="F39" s="260"/>
      <c r="G39" s="30">
        <f t="shared" ref="G39:O39" si="5">SUM(G31,G36)</f>
        <v>287523.69881779328</v>
      </c>
      <c r="H39" s="30">
        <f t="shared" si="5"/>
        <v>281627.28944179334</v>
      </c>
      <c r="I39" s="30">
        <f t="shared" si="5"/>
        <v>275495.02369075338</v>
      </c>
      <c r="J39" s="30">
        <f t="shared" si="5"/>
        <v>291059.38730967161</v>
      </c>
      <c r="K39" s="30">
        <f t="shared" si="5"/>
        <v>295350.25947334687</v>
      </c>
      <c r="L39" s="30">
        <f t="shared" si="5"/>
        <v>288452.29449156887</v>
      </c>
      <c r="M39" s="30">
        <f t="shared" si="5"/>
        <v>281278.41091052</v>
      </c>
      <c r="N39" s="30">
        <f t="shared" si="5"/>
        <v>273817.57198622904</v>
      </c>
      <c r="O39" s="30">
        <f t="shared" si="5"/>
        <v>266058.29950496659</v>
      </c>
    </row>
    <row r="40" spans="2:15" x14ac:dyDescent="0.3">
      <c r="B40" s="289"/>
      <c r="C40" s="289"/>
      <c r="D40" s="289"/>
      <c r="E40" s="31"/>
      <c r="F40" s="31"/>
      <c r="G40" s="31"/>
      <c r="H40" s="31"/>
      <c r="I40" s="31"/>
      <c r="J40" s="31"/>
      <c r="K40" s="31"/>
      <c r="L40" s="31"/>
      <c r="M40" s="177"/>
      <c r="N40" s="177"/>
      <c r="O40" s="177"/>
    </row>
    <row r="41" spans="2:15" x14ac:dyDescent="0.3">
      <c r="B41" s="286"/>
      <c r="C41" s="286"/>
      <c r="D41" s="286"/>
      <c r="E41" s="14"/>
      <c r="F41" s="14"/>
      <c r="G41" s="14"/>
      <c r="H41" s="14"/>
      <c r="I41" s="14"/>
      <c r="J41" s="14"/>
      <c r="K41" s="14"/>
      <c r="L41" s="14"/>
      <c r="M41" s="29"/>
      <c r="N41" s="29"/>
      <c r="O41" s="29"/>
    </row>
    <row r="42" spans="2:15" x14ac:dyDescent="0.3">
      <c r="B42" s="267" t="s">
        <v>14</v>
      </c>
      <c r="C42" s="267"/>
      <c r="D42" s="267"/>
      <c r="E42" s="14">
        <f>E39</f>
        <v>298456.97321779339</v>
      </c>
      <c r="F42" s="14"/>
      <c r="G42" s="14">
        <f>E42+G39</f>
        <v>585980.67203558667</v>
      </c>
      <c r="H42" s="14">
        <f t="shared" ref="H42:O42" si="6">G42+H39</f>
        <v>867607.96147738001</v>
      </c>
      <c r="I42" s="14">
        <f t="shared" si="6"/>
        <v>1143102.9851681334</v>
      </c>
      <c r="J42" s="14">
        <f t="shared" si="6"/>
        <v>1434162.372477805</v>
      </c>
      <c r="K42" s="14">
        <f t="shared" si="6"/>
        <v>1729512.6319511519</v>
      </c>
      <c r="L42" s="14">
        <f t="shared" si="6"/>
        <v>2017964.9264427207</v>
      </c>
      <c r="M42" s="29">
        <f t="shared" si="6"/>
        <v>2299243.3373532407</v>
      </c>
      <c r="N42" s="29">
        <f t="shared" si="6"/>
        <v>2573060.9093394699</v>
      </c>
      <c r="O42" s="29">
        <f t="shared" si="6"/>
        <v>2839119.2088444363</v>
      </c>
    </row>
    <row r="43" spans="2:15" x14ac:dyDescent="0.3">
      <c r="B43" s="210"/>
      <c r="C43" s="210"/>
      <c r="D43" s="210"/>
      <c r="E43" s="14"/>
      <c r="F43" s="14"/>
      <c r="G43" s="14"/>
      <c r="H43" s="14"/>
      <c r="I43" s="14"/>
      <c r="J43" s="14"/>
      <c r="K43" s="14"/>
      <c r="L43" s="14"/>
      <c r="M43" s="29"/>
      <c r="N43" s="29"/>
      <c r="O43" s="29"/>
    </row>
    <row r="44" spans="2:15" x14ac:dyDescent="0.3">
      <c r="B44" s="268" t="s">
        <v>15</v>
      </c>
      <c r="C44" s="268"/>
      <c r="D44" s="268"/>
      <c r="E44" s="15">
        <f>'Dashboard Control'!$N$39*0.08</f>
        <v>219800.6</v>
      </c>
      <c r="F44" s="36"/>
      <c r="G44" s="15">
        <f>'Dashboard Control'!$N$39*0.08</f>
        <v>219800.6</v>
      </c>
      <c r="H44" s="15">
        <f>'Dashboard Control'!$N$39*0.08</f>
        <v>219800.6</v>
      </c>
      <c r="I44" s="15">
        <f>'Dashboard Control'!$N$39*0.08</f>
        <v>219800.6</v>
      </c>
      <c r="J44" s="15">
        <f>'Dashboard Control'!$N$39*0.08</f>
        <v>219800.6</v>
      </c>
      <c r="K44" s="15">
        <f>'Dashboard Control'!$N$39*0.08</f>
        <v>219800.6</v>
      </c>
      <c r="L44" s="15">
        <f>'Dashboard Control'!$N$39*0.08</f>
        <v>219800.6</v>
      </c>
      <c r="M44" s="175">
        <f>'Dashboard Control'!$N$39*0.08</f>
        <v>219800.6</v>
      </c>
      <c r="N44" s="175">
        <f>'Dashboard Control'!$N$39*0.08</f>
        <v>219800.6</v>
      </c>
      <c r="O44" s="175">
        <f>'Dashboard Control'!$N$39*0.08</f>
        <v>219800.6</v>
      </c>
    </row>
    <row r="45" spans="2:15" hidden="1" x14ac:dyDescent="0.3">
      <c r="B45" s="268" t="s">
        <v>16</v>
      </c>
      <c r="C45" s="268"/>
      <c r="D45" s="268"/>
      <c r="E45" s="15">
        <v>0</v>
      </c>
      <c r="F45" s="36"/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75">
        <v>0</v>
      </c>
      <c r="N45" s="175">
        <v>0</v>
      </c>
      <c r="O45" s="175">
        <v>0</v>
      </c>
    </row>
    <row r="46" spans="2:15" x14ac:dyDescent="0.3">
      <c r="B46" s="271" t="s">
        <v>17</v>
      </c>
      <c r="C46" s="271"/>
      <c r="D46" s="271"/>
      <c r="E46" s="27">
        <f>'Dashboard Control'!$N$18-E45</f>
        <v>2747507.5</v>
      </c>
      <c r="F46" s="28"/>
      <c r="G46" s="27">
        <f>'Dashboard Control'!$N$18-G45</f>
        <v>2747507.5</v>
      </c>
      <c r="H46" s="27">
        <f>'Dashboard Control'!$N$18-H45</f>
        <v>2747507.5</v>
      </c>
      <c r="I46" s="27">
        <f>'Dashboard Control'!$N$18-I45</f>
        <v>2747507.5</v>
      </c>
      <c r="J46" s="27">
        <f>'Dashboard Control'!$N$18-J45</f>
        <v>2747507.5</v>
      </c>
      <c r="K46" s="27">
        <f>'Dashboard Control'!$N$18-K45</f>
        <v>2747507.5</v>
      </c>
      <c r="L46" s="27">
        <f>'Dashboard Control'!$N$18-L45</f>
        <v>2747507.5</v>
      </c>
      <c r="M46" s="176">
        <f>'Dashboard Control'!$N$18-M45</f>
        <v>2747507.5</v>
      </c>
      <c r="N46" s="176">
        <f>'Dashboard Control'!$N$18-N45</f>
        <v>2747507.5</v>
      </c>
      <c r="O46" s="176">
        <f>'Dashboard Control'!$N$18-O45</f>
        <v>2747507.5</v>
      </c>
    </row>
    <row r="47" spans="2:15" x14ac:dyDescent="0.3">
      <c r="B47" s="287" t="s">
        <v>18</v>
      </c>
      <c r="C47" s="287"/>
      <c r="D47" s="287"/>
      <c r="E47" s="41">
        <f>E39-SUM(E44:E45)</f>
        <v>78656.373217793385</v>
      </c>
      <c r="F47" s="36"/>
      <c r="G47" s="41">
        <f t="shared" ref="G47:O47" si="7">G39-SUM(G44:G45)</f>
        <v>67723.098817793274</v>
      </c>
      <c r="H47" s="41">
        <f t="shared" si="7"/>
        <v>61826.689441793336</v>
      </c>
      <c r="I47" s="41">
        <f t="shared" si="7"/>
        <v>55694.423690753378</v>
      </c>
      <c r="J47" s="41">
        <f t="shared" si="7"/>
        <v>71258.787309671607</v>
      </c>
      <c r="K47" s="41">
        <f t="shared" si="7"/>
        <v>75549.659473346866</v>
      </c>
      <c r="L47" s="41">
        <f t="shared" si="7"/>
        <v>68651.694491568865</v>
      </c>
      <c r="M47" s="178">
        <f t="shared" si="7"/>
        <v>61477.810910519998</v>
      </c>
      <c r="N47" s="178">
        <f t="shared" si="7"/>
        <v>54016.971986229037</v>
      </c>
      <c r="O47" s="178">
        <f t="shared" si="7"/>
        <v>46257.699504966586</v>
      </c>
    </row>
    <row r="48" spans="2:15" x14ac:dyDescent="0.3">
      <c r="B48" s="286"/>
      <c r="C48" s="286"/>
      <c r="D48" s="286"/>
      <c r="E48" s="14"/>
      <c r="F48" s="14"/>
      <c r="G48" s="14"/>
      <c r="H48" s="14"/>
      <c r="I48" s="14"/>
      <c r="J48" s="14"/>
      <c r="K48" s="14"/>
      <c r="L48" s="14"/>
      <c r="M48" s="29"/>
      <c r="N48" s="29"/>
      <c r="O48" s="29"/>
    </row>
    <row r="49" spans="2:15" x14ac:dyDescent="0.3">
      <c r="B49" s="273" t="s">
        <v>19</v>
      </c>
      <c r="C49" s="273"/>
      <c r="D49" s="273"/>
      <c r="E49" s="14">
        <f>SUM(E47)</f>
        <v>78656.373217793385</v>
      </c>
      <c r="F49" s="14"/>
      <c r="G49" s="14">
        <f>SUM(E49,G47)</f>
        <v>146379.47203558666</v>
      </c>
      <c r="H49" s="14">
        <f>SUM(G49,H47)</f>
        <v>208206.16147738</v>
      </c>
      <c r="I49" s="14">
        <f t="shared" ref="H49:O49" si="8">SUM(H49,I47)</f>
        <v>263900.58516813337</v>
      </c>
      <c r="J49" s="14">
        <f t="shared" si="8"/>
        <v>335159.37247780501</v>
      </c>
      <c r="K49" s="14">
        <f t="shared" si="8"/>
        <v>410709.0319511519</v>
      </c>
      <c r="L49" s="14">
        <f t="shared" si="8"/>
        <v>479360.72644272074</v>
      </c>
      <c r="M49" s="29">
        <f t="shared" si="8"/>
        <v>540838.53735324077</v>
      </c>
      <c r="N49" s="29">
        <f t="shared" si="8"/>
        <v>594855.50933946983</v>
      </c>
      <c r="O49" s="29">
        <f t="shared" si="8"/>
        <v>641113.20884443645</v>
      </c>
    </row>
    <row r="50" spans="2:15" x14ac:dyDescent="0.3">
      <c r="B50" s="286"/>
      <c r="C50" s="286"/>
      <c r="D50" s="286"/>
    </row>
    <row r="51" spans="2:15" x14ac:dyDescent="0.3">
      <c r="B51" s="280" t="s">
        <v>20</v>
      </c>
      <c r="C51" s="280"/>
      <c r="D51" s="280"/>
    </row>
    <row r="52" spans="2:15" x14ac:dyDescent="0.3">
      <c r="B52" s="268" t="s">
        <v>21</v>
      </c>
      <c r="C52" s="268"/>
      <c r="D52" s="268"/>
      <c r="E52" s="248">
        <f>E39/'Dashboard Control'!$N$18</f>
        <v>0.10862826515224923</v>
      </c>
      <c r="F52" s="248"/>
      <c r="G52" s="248">
        <f>G39/'Dashboard Control'!$N$18</f>
        <v>0.10464892227511419</v>
      </c>
      <c r="H52" s="248">
        <f>H39/'Dashboard Control'!$N$18</f>
        <v>0.10250282826954735</v>
      </c>
      <c r="I52" s="248">
        <f>I39/'Dashboard Control'!$N$18</f>
        <v>0.10027089050375781</v>
      </c>
      <c r="J52" s="248">
        <f>J39/'Dashboard Control'!$N$18</f>
        <v>0.10593579355458416</v>
      </c>
      <c r="K52" s="248">
        <f>K39/'Dashboard Control'!$N$18</f>
        <v>0.10749752620269348</v>
      </c>
      <c r="L52" s="248">
        <f>L39/'Dashboard Control'!$N$18</f>
        <v>0.10498689975971635</v>
      </c>
      <c r="M52" s="179">
        <f>M39/'Dashboard Control'!$N$18</f>
        <v>0.10237584825902023</v>
      </c>
      <c r="N52" s="179">
        <f>N39/'Dashboard Control'!$N$18</f>
        <v>9.9660354698296205E-2</v>
      </c>
      <c r="O52" s="179">
        <f>O39/'Dashboard Control'!$N$18</f>
        <v>9.6836241395143269E-2</v>
      </c>
    </row>
    <row r="53" spans="2:15" x14ac:dyDescent="0.3">
      <c r="B53" s="268" t="s">
        <v>22</v>
      </c>
      <c r="C53" s="268"/>
      <c r="D53" s="268"/>
      <c r="E53" s="43">
        <f>(E39+(-E34))/'Dashboard Control'!$N$39</f>
        <v>0.17697995061498081</v>
      </c>
      <c r="F53" s="43"/>
      <c r="G53" s="43">
        <f>(G39+(-G34))/'Dashboard Control'!$N$39</f>
        <v>0.17627611652703409</v>
      </c>
      <c r="H53" s="43">
        <f>(H39+(-H34))/'Dashboard Control'!$N$39</f>
        <v>0.1775624982933337</v>
      </c>
      <c r="I53" s="43">
        <f>(I39+(-I34))/'Dashboard Control'!$N$39</f>
        <v>0.17892752536040904</v>
      </c>
      <c r="J53" s="43">
        <f>(J39+(-J34))/'Dashboard Control'!$N$39</f>
        <v>0.18836176485197931</v>
      </c>
      <c r="K53" s="43">
        <f>(K39+(-K34))/'Dashboard Control'!$N$39</f>
        <v>0.19387346583831216</v>
      </c>
      <c r="L53" s="43">
        <f>(L39+(-L34))/'Dashboard Control'!$N$39</f>
        <v>0.19550209576532077</v>
      </c>
      <c r="M53" s="180">
        <f>(M39+(-M34))/'Dashboard Control'!$N$39</f>
        <v>0.19722865961477015</v>
      </c>
      <c r="N53" s="180">
        <f>(N39+(-N34))/'Dashboard Control'!$N$39</f>
        <v>0.1990586460253394</v>
      </c>
      <c r="O53" s="180">
        <f>(O39+(-O34))/'Dashboard Control'!$N$39</f>
        <v>0.20099783847928523</v>
      </c>
    </row>
    <row r="54" spans="2:15" hidden="1" x14ac:dyDescent="0.3">
      <c r="B54" s="268" t="s">
        <v>23</v>
      </c>
      <c r="C54" s="268"/>
      <c r="D54" s="268"/>
    </row>
    <row r="55" spans="2:15" x14ac:dyDescent="0.3">
      <c r="B55" s="268" t="s">
        <v>24</v>
      </c>
      <c r="C55" s="268"/>
      <c r="D55" s="268"/>
      <c r="E55" s="43">
        <f>E31/'Dashboard Control'!$N$24</f>
        <v>9.1329584523809529E-2</v>
      </c>
      <c r="F55" s="43"/>
      <c r="G55" s="43">
        <f>G31/'Dashboard Control'!$N$24</f>
        <v>9.0028004238095247E-2</v>
      </c>
      <c r="H55" s="43">
        <f>H31/'Dashboard Control'!$N$24</f>
        <v>8.9326050740952373E-2</v>
      </c>
      <c r="I55" s="43">
        <f>I31/'Dashboard Control'!$N$24</f>
        <v>8.8596019103923812E-2</v>
      </c>
      <c r="J55" s="43">
        <f>J31/'Dashboard Control'!$N$24</f>
        <v>9.0448919534747402E-2</v>
      </c>
      <c r="K55" s="43">
        <f>K31/'Dashboard Control'!$N$24</f>
        <v>9.0959737649470657E-2</v>
      </c>
      <c r="L55" s="43">
        <f>L31/'Dashboard Control'!$N$24</f>
        <v>9.0138551342116138E-2</v>
      </c>
      <c r="M55" s="180">
        <f>M31/'Dashboard Control'!$N$24</f>
        <v>8.9284517582467457E-2</v>
      </c>
      <c r="N55" s="180">
        <f>N31/'Dashboard Control'!$N$24</f>
        <v>8.8396322472432814E-2</v>
      </c>
      <c r="O55" s="180">
        <f>O31/'Dashboard Control'!$N$24</f>
        <v>8.7472599557996814E-2</v>
      </c>
    </row>
    <row r="56" spans="2:15" x14ac:dyDescent="0.3">
      <c r="B56" s="268" t="s">
        <v>25</v>
      </c>
      <c r="C56" s="268"/>
      <c r="D56" s="268"/>
      <c r="E56" s="43">
        <f t="shared" ref="E56:O56" si="9">E29/E12</f>
        <v>0.37341314367249528</v>
      </c>
      <c r="F56" s="43"/>
      <c r="G56" s="43">
        <f t="shared" si="9"/>
        <v>0.38397217899692926</v>
      </c>
      <c r="H56" s="43">
        <f t="shared" si="9"/>
        <v>0.39341190458464703</v>
      </c>
      <c r="I56" s="43">
        <f t="shared" si="9"/>
        <v>0.40307848854158856</v>
      </c>
      <c r="J56" s="43">
        <f t="shared" si="9"/>
        <v>0.4068932693461409</v>
      </c>
      <c r="K56" s="43">
        <f t="shared" si="9"/>
        <v>0.41386563641464119</v>
      </c>
      <c r="L56" s="43">
        <f t="shared" si="9"/>
        <v>0.42400762664618913</v>
      </c>
      <c r="M56" s="180">
        <f t="shared" si="9"/>
        <v>0.43437716261105569</v>
      </c>
      <c r="N56" s="180">
        <f t="shared" si="9"/>
        <v>0.44497374531957756</v>
      </c>
      <c r="O56" s="180">
        <f t="shared" si="9"/>
        <v>0.45579649693953839</v>
      </c>
    </row>
    <row r="57" spans="2:15" hidden="1" x14ac:dyDescent="0.3">
      <c r="B57" s="268" t="s">
        <v>26</v>
      </c>
      <c r="C57" s="268"/>
      <c r="D57" s="268"/>
    </row>
    <row r="58" spans="2:15" hidden="1" x14ac:dyDescent="0.3">
      <c r="B58" s="268" t="s">
        <v>27</v>
      </c>
      <c r="C58" s="268"/>
      <c r="D58" s="268"/>
    </row>
    <row r="59" spans="2:15" x14ac:dyDescent="0.3">
      <c r="B59" s="268" t="s">
        <v>28</v>
      </c>
      <c r="C59" s="268"/>
      <c r="D59" s="268"/>
      <c r="E59" s="44">
        <f>E31/-E36</f>
        <v>1.6367604588245406</v>
      </c>
      <c r="F59" s="44"/>
      <c r="G59" s="44">
        <f t="shared" ref="G59:O59" si="10">G31/-G36</f>
        <v>1.6134342260736696</v>
      </c>
      <c r="H59" s="44">
        <f t="shared" si="10"/>
        <v>1.600854187151479</v>
      </c>
      <c r="I59" s="44">
        <f t="shared" si="10"/>
        <v>1.5877709466724008</v>
      </c>
      <c r="J59" s="44">
        <f t="shared" si="10"/>
        <v>1.6209776471640731</v>
      </c>
      <c r="K59" s="44">
        <f t="shared" si="10"/>
        <v>1.6301322589603453</v>
      </c>
      <c r="L59" s="44">
        <f t="shared" si="10"/>
        <v>1.6154153927420869</v>
      </c>
      <c r="M59" s="181">
        <f t="shared" si="10"/>
        <v>1.6001098518750989</v>
      </c>
      <c r="N59" s="181">
        <f t="shared" si="10"/>
        <v>1.5841920893734309</v>
      </c>
      <c r="O59" s="181">
        <f t="shared" si="10"/>
        <v>1.5676376163716967</v>
      </c>
    </row>
    <row r="60" spans="2:15" x14ac:dyDescent="0.3">
      <c r="B60" s="249" t="s">
        <v>260</v>
      </c>
      <c r="E60" s="53">
        <v>8.5000000000000006E-2</v>
      </c>
      <c r="F60" s="53"/>
      <c r="G60" s="53">
        <v>8.5000000000000006E-2</v>
      </c>
      <c r="H60" s="53">
        <v>8.5000000000000006E-2</v>
      </c>
      <c r="I60" s="53">
        <v>8.5000000000000006E-2</v>
      </c>
      <c r="J60" s="53">
        <v>8.5000000000000006E-2</v>
      </c>
      <c r="K60" s="53">
        <v>8.5000000000000006E-2</v>
      </c>
      <c r="L60" s="53">
        <v>8.5000000000000006E-2</v>
      </c>
      <c r="M60" s="53">
        <v>8.5000000000000006E-2</v>
      </c>
      <c r="N60" s="53">
        <v>8.5000000000000006E-2</v>
      </c>
      <c r="O60" s="53">
        <v>8.5000000000000006E-2</v>
      </c>
    </row>
    <row r="61" spans="2:15" x14ac:dyDescent="0.3">
      <c r="B61" s="249" t="s">
        <v>261</v>
      </c>
      <c r="E61" s="14">
        <f>E31/E60</f>
        <v>9025511.8823529407</v>
      </c>
      <c r="F61" s="14"/>
      <c r="G61" s="14">
        <f t="shared" ref="G61:O61" si="11">G31/G60</f>
        <v>8896885.1247058827</v>
      </c>
      <c r="H61" s="14">
        <f t="shared" si="11"/>
        <v>8827515.6026352923</v>
      </c>
      <c r="I61" s="14">
        <f t="shared" si="11"/>
        <v>8755371.2996818814</v>
      </c>
      <c r="J61" s="14">
        <f t="shared" si="11"/>
        <v>8938481.4599044491</v>
      </c>
      <c r="K61" s="14">
        <f t="shared" si="11"/>
        <v>8988962.3088888638</v>
      </c>
      <c r="L61" s="14">
        <f t="shared" si="11"/>
        <v>8907809.7796914764</v>
      </c>
      <c r="M61" s="14">
        <f t="shared" si="11"/>
        <v>8823411.1493261941</v>
      </c>
      <c r="N61" s="14">
        <f t="shared" si="11"/>
        <v>8735636.5737463012</v>
      </c>
      <c r="O61" s="14">
        <f t="shared" si="11"/>
        <v>8644351.0151432138</v>
      </c>
    </row>
    <row r="62" spans="2:15" x14ac:dyDescent="0.3">
      <c r="B62" t="s">
        <v>29</v>
      </c>
    </row>
    <row r="63" spans="2:15" x14ac:dyDescent="0.3">
      <c r="B63" s="114" t="s">
        <v>250</v>
      </c>
      <c r="C63" s="114"/>
      <c r="D63" s="114"/>
    </row>
    <row r="64" spans="2:15" x14ac:dyDescent="0.3">
      <c r="B64" s="114" t="s">
        <v>252</v>
      </c>
      <c r="C64" s="114"/>
      <c r="D64" s="114"/>
    </row>
    <row r="65" spans="2:4" x14ac:dyDescent="0.3">
      <c r="B65" s="114" t="s">
        <v>265</v>
      </c>
      <c r="C65" s="114"/>
      <c r="D65" s="114"/>
    </row>
  </sheetData>
  <mergeCells count="54">
    <mergeCell ref="B37:D37"/>
    <mergeCell ref="H1:K1"/>
    <mergeCell ref="B55:D55"/>
    <mergeCell ref="B56:D56"/>
    <mergeCell ref="B57:D57"/>
    <mergeCell ref="B58:D58"/>
    <mergeCell ref="B39:D39"/>
    <mergeCell ref="B40:D40"/>
    <mergeCell ref="B38:D38"/>
    <mergeCell ref="B30:D30"/>
    <mergeCell ref="B32:D32"/>
    <mergeCell ref="B34:D34"/>
    <mergeCell ref="B35:D35"/>
    <mergeCell ref="B36:D36"/>
    <mergeCell ref="B23:D23"/>
    <mergeCell ref="B29:D29"/>
    <mergeCell ref="B31:D31"/>
    <mergeCell ref="B59:D59"/>
    <mergeCell ref="B54:D54"/>
    <mergeCell ref="B41:D41"/>
    <mergeCell ref="B42:D42"/>
    <mergeCell ref="B44:D44"/>
    <mergeCell ref="B45:D45"/>
    <mergeCell ref="B47:D47"/>
    <mergeCell ref="B48:D48"/>
    <mergeCell ref="B49:D49"/>
    <mergeCell ref="B46:D46"/>
    <mergeCell ref="B50:D50"/>
    <mergeCell ref="B51:D51"/>
    <mergeCell ref="B52:D52"/>
    <mergeCell ref="B53:D53"/>
    <mergeCell ref="B20:D20"/>
    <mergeCell ref="B8:D8"/>
    <mergeCell ref="B9:D9"/>
    <mergeCell ref="B10:D10"/>
    <mergeCell ref="B33:D33"/>
    <mergeCell ref="B22:D22"/>
    <mergeCell ref="B24:D24"/>
    <mergeCell ref="B25:D25"/>
    <mergeCell ref="B26:D26"/>
    <mergeCell ref="B27:D27"/>
    <mergeCell ref="B28:D28"/>
    <mergeCell ref="B21:D21"/>
    <mergeCell ref="B12:D12"/>
    <mergeCell ref="B14:D14"/>
    <mergeCell ref="B15:D15"/>
    <mergeCell ref="E4:O4"/>
    <mergeCell ref="B7:D7"/>
    <mergeCell ref="B18:D18"/>
    <mergeCell ref="B19:D19"/>
    <mergeCell ref="B16:D16"/>
    <mergeCell ref="B13:D13"/>
    <mergeCell ref="B17:D17"/>
    <mergeCell ref="B11:D11"/>
  </mergeCells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6B7ED-3726-4007-9E74-5591C66457CC}">
  <sheetPr>
    <pageSetUpPr fitToPage="1"/>
  </sheetPr>
  <dimension ref="B1:R41"/>
  <sheetViews>
    <sheetView showGridLines="0" zoomScale="80" zoomScaleNormal="80" workbookViewId="0">
      <selection activeCell="K29" sqref="K29"/>
    </sheetView>
  </sheetViews>
  <sheetFormatPr defaultRowHeight="14.4" x14ac:dyDescent="0.3"/>
  <cols>
    <col min="1" max="1" width="2.5546875" customWidth="1"/>
    <col min="2" max="2" width="30.109375" bestFit="1" customWidth="1"/>
    <col min="3" max="3" width="5.109375" customWidth="1"/>
    <col min="4" max="4" width="33.33203125" bestFit="1" customWidth="1"/>
    <col min="5" max="5" width="5.88671875" customWidth="1"/>
    <col min="6" max="6" width="30.33203125" bestFit="1" customWidth="1"/>
    <col min="7" max="7" width="5.5546875" customWidth="1"/>
    <col min="8" max="8" width="15.33203125" customWidth="1"/>
    <col min="9" max="9" width="5.44140625" customWidth="1"/>
    <col min="12" max="12" width="21.44140625" customWidth="1"/>
    <col min="13" max="13" width="6" hidden="1" customWidth="1"/>
    <col min="14" max="14" width="18.44140625" bestFit="1" customWidth="1"/>
    <col min="15" max="15" width="3.6640625" customWidth="1"/>
    <col min="16" max="16" width="26" hidden="1" customWidth="1"/>
    <col min="17" max="17" width="34.88671875" style="143" hidden="1" customWidth="1"/>
  </cols>
  <sheetData>
    <row r="1" spans="2:18" ht="18" x14ac:dyDescent="0.35">
      <c r="H1" s="275" t="s">
        <v>0</v>
      </c>
      <c r="I1" s="275"/>
      <c r="J1" s="275"/>
      <c r="K1" s="275"/>
      <c r="Q1" s="208"/>
    </row>
    <row r="2" spans="2:18" ht="21" x14ac:dyDescent="0.4">
      <c r="B2" s="5" t="s">
        <v>30</v>
      </c>
      <c r="C2" s="5"/>
      <c r="Q2" s="208"/>
    </row>
    <row r="3" spans="2:18" ht="18" x14ac:dyDescent="0.35">
      <c r="B3" s="107" t="s">
        <v>229</v>
      </c>
      <c r="C3" s="4"/>
      <c r="Q3" s="208"/>
    </row>
    <row r="5" spans="2:18" x14ac:dyDescent="0.3">
      <c r="B5" s="128" t="s">
        <v>31</v>
      </c>
      <c r="C5" s="127"/>
      <c r="D5" s="127"/>
      <c r="F5" s="128" t="s">
        <v>32</v>
      </c>
      <c r="G5" s="127"/>
      <c r="H5" s="130"/>
      <c r="J5" s="128" t="s">
        <v>33</v>
      </c>
      <c r="K5" s="127"/>
      <c r="L5" s="130"/>
      <c r="M5" s="128"/>
      <c r="N5" s="239"/>
      <c r="O5" s="235"/>
      <c r="P5" s="128" t="s">
        <v>34</v>
      </c>
      <c r="Q5" s="127"/>
      <c r="R5" s="235"/>
    </row>
    <row r="6" spans="2:18" x14ac:dyDescent="0.3">
      <c r="B6" t="s">
        <v>35</v>
      </c>
      <c r="D6" s="109" t="s">
        <v>262</v>
      </c>
      <c r="F6" s="213" t="s">
        <v>36</v>
      </c>
      <c r="G6" s="213"/>
      <c r="H6" s="110">
        <f>'Cash Flow 10 Yr'!E52</f>
        <v>0.10862826515224923</v>
      </c>
      <c r="J6" s="291" t="s">
        <v>37</v>
      </c>
      <c r="K6" s="291"/>
      <c r="L6" s="291"/>
      <c r="M6" s="214"/>
      <c r="N6" s="238">
        <v>0.25</v>
      </c>
      <c r="P6" s="214" t="s">
        <v>38</v>
      </c>
      <c r="Q6" s="144"/>
    </row>
    <row r="7" spans="2:18" x14ac:dyDescent="0.3">
      <c r="B7" t="s">
        <v>39</v>
      </c>
      <c r="D7" s="109" t="s">
        <v>40</v>
      </c>
      <c r="F7" s="212" t="s">
        <v>41</v>
      </c>
      <c r="G7" s="212"/>
      <c r="H7" s="111">
        <f>'Cash Flow 10 Yr'!E39</f>
        <v>298456.97321779339</v>
      </c>
      <c r="J7" s="282" t="s">
        <v>42</v>
      </c>
      <c r="K7" s="282"/>
      <c r="L7" s="282"/>
      <c r="M7" s="208"/>
      <c r="N7" s="236">
        <v>4.6899999999999997E-2</v>
      </c>
      <c r="P7" s="208" t="s">
        <v>43</v>
      </c>
      <c r="Q7" s="156" t="s">
        <v>256</v>
      </c>
    </row>
    <row r="8" spans="2:18" x14ac:dyDescent="0.3">
      <c r="B8" t="s">
        <v>44</v>
      </c>
      <c r="D8" s="109"/>
      <c r="F8" s="212" t="s">
        <v>45</v>
      </c>
      <c r="G8" s="212"/>
      <c r="H8" s="112">
        <f>'Cash Flow 10 Yr'!O42</f>
        <v>2839119.2088444363</v>
      </c>
      <c r="J8" s="282" t="s">
        <v>46</v>
      </c>
      <c r="K8" s="282"/>
      <c r="L8" s="282"/>
      <c r="M8" s="208"/>
      <c r="N8" s="234">
        <v>20</v>
      </c>
      <c r="P8" s="208" t="s">
        <v>47</v>
      </c>
      <c r="Q8" s="156"/>
    </row>
    <row r="9" spans="2:18" x14ac:dyDescent="0.3">
      <c r="B9" t="s">
        <v>246</v>
      </c>
      <c r="D9" s="108">
        <v>5</v>
      </c>
      <c r="F9" s="212" t="s">
        <v>48</v>
      </c>
      <c r="G9" s="212"/>
      <c r="H9" s="113">
        <f>'Cash Flow 10 Yr'!H55</f>
        <v>8.9326050740952373E-2</v>
      </c>
      <c r="J9" s="282" t="s">
        <v>49</v>
      </c>
      <c r="K9" s="282"/>
      <c r="L9" s="282"/>
      <c r="M9" s="208"/>
      <c r="N9" s="234">
        <v>0</v>
      </c>
      <c r="P9" s="208" t="s">
        <v>50</v>
      </c>
      <c r="Q9" s="145"/>
    </row>
    <row r="10" spans="2:18" x14ac:dyDescent="0.3">
      <c r="B10" t="s">
        <v>51</v>
      </c>
      <c r="D10" s="109"/>
      <c r="F10" s="212" t="s">
        <v>52</v>
      </c>
      <c r="G10" s="212"/>
      <c r="H10" s="112">
        <f>'Cash Flow 10 Yr'!H31</f>
        <v>750338.82622399996</v>
      </c>
      <c r="J10" s="282" t="s">
        <v>53</v>
      </c>
      <c r="K10" s="282"/>
      <c r="L10" s="282"/>
      <c r="M10" s="208"/>
      <c r="N10" s="157"/>
      <c r="P10" s="208" t="s">
        <v>54</v>
      </c>
      <c r="Q10" s="156" t="s">
        <v>243</v>
      </c>
    </row>
    <row r="11" spans="2:18" x14ac:dyDescent="0.3">
      <c r="B11" t="s">
        <v>55</v>
      </c>
      <c r="D11" s="109" t="s">
        <v>245</v>
      </c>
      <c r="F11" s="212" t="s">
        <v>56</v>
      </c>
      <c r="G11" s="212"/>
      <c r="H11" s="113">
        <f>'IRR Calculator'!E35</f>
        <v>0.24540941119194026</v>
      </c>
      <c r="J11" s="282" t="s">
        <v>57</v>
      </c>
      <c r="K11" s="282"/>
      <c r="L11" s="282"/>
      <c r="M11" s="208"/>
      <c r="N11" s="157"/>
      <c r="P11" s="208" t="s">
        <v>58</v>
      </c>
      <c r="Q11" s="156"/>
    </row>
    <row r="12" spans="2:18" x14ac:dyDescent="0.3">
      <c r="B12" t="s">
        <v>59</v>
      </c>
      <c r="D12" s="109" t="s">
        <v>60</v>
      </c>
      <c r="F12" s="212" t="s">
        <v>61</v>
      </c>
      <c r="G12" s="212"/>
      <c r="H12" s="113">
        <f>'Exit Stops'!K27</f>
        <v>0.94837873449498344</v>
      </c>
      <c r="J12" s="282" t="s">
        <v>62</v>
      </c>
      <c r="K12" s="282"/>
      <c r="L12" s="282"/>
      <c r="M12" s="208"/>
      <c r="N12" s="157"/>
      <c r="P12" s="208" t="s">
        <v>63</v>
      </c>
      <c r="Q12" s="156"/>
    </row>
    <row r="13" spans="2:18" x14ac:dyDescent="0.3">
      <c r="B13" t="s">
        <v>64</v>
      </c>
      <c r="D13" s="190" t="s">
        <v>248</v>
      </c>
      <c r="J13" s="282"/>
      <c r="K13" s="282"/>
      <c r="L13" s="282"/>
      <c r="M13" s="208"/>
      <c r="P13" s="208" t="s">
        <v>65</v>
      </c>
      <c r="Q13" s="146"/>
    </row>
    <row r="14" spans="2:18" x14ac:dyDescent="0.3">
      <c r="B14" t="s">
        <v>66</v>
      </c>
      <c r="D14" s="109">
        <v>3</v>
      </c>
      <c r="F14" s="128" t="s">
        <v>67</v>
      </c>
      <c r="G14" s="128"/>
      <c r="H14" s="128"/>
      <c r="I14" s="155"/>
      <c r="J14" s="128" t="s">
        <v>68</v>
      </c>
      <c r="K14" s="128"/>
      <c r="L14" s="128"/>
      <c r="M14" s="131"/>
      <c r="N14" s="130"/>
      <c r="P14" s="208" t="s">
        <v>69</v>
      </c>
      <c r="Q14" s="145"/>
    </row>
    <row r="15" spans="2:18" x14ac:dyDescent="0.3">
      <c r="B15" t="s">
        <v>70</v>
      </c>
      <c r="D15" s="109">
        <v>4</v>
      </c>
      <c r="F15" s="213" t="s">
        <v>71</v>
      </c>
      <c r="G15" s="213"/>
      <c r="H15" s="124">
        <v>6.7500000000000004E-2</v>
      </c>
      <c r="J15" s="291" t="s">
        <v>72</v>
      </c>
      <c r="K15" s="291"/>
      <c r="L15" s="291"/>
      <c r="M15" s="214"/>
      <c r="N15" s="92">
        <f>N24</f>
        <v>8400000</v>
      </c>
      <c r="P15" s="208" t="s">
        <v>73</v>
      </c>
      <c r="Q15" s="147"/>
    </row>
    <row r="16" spans="2:18" x14ac:dyDescent="0.3">
      <c r="B16" t="s">
        <v>74</v>
      </c>
      <c r="D16" s="109" t="s">
        <v>230</v>
      </c>
      <c r="F16" s="212" t="s">
        <v>75</v>
      </c>
      <c r="G16" s="212"/>
      <c r="H16" s="125">
        <v>0.05</v>
      </c>
      <c r="J16" s="282" t="s">
        <v>76</v>
      </c>
      <c r="K16" s="282"/>
      <c r="L16" s="282"/>
      <c r="M16" s="208"/>
      <c r="N16" s="35">
        <f>'Sources &amp; Uses'!J35</f>
        <v>422507.5</v>
      </c>
      <c r="P16" s="208" t="s">
        <v>77</v>
      </c>
      <c r="Q16" s="156"/>
    </row>
    <row r="17" spans="2:17" x14ac:dyDescent="0.3">
      <c r="F17" s="212" t="s">
        <v>78</v>
      </c>
      <c r="G17" s="212"/>
      <c r="H17" s="125">
        <v>0.02</v>
      </c>
      <c r="J17" s="282" t="s">
        <v>79</v>
      </c>
      <c r="K17" s="282"/>
      <c r="L17" s="282"/>
      <c r="M17" s="208"/>
      <c r="N17" s="35">
        <f>Amorization!E11</f>
        <v>6075000</v>
      </c>
      <c r="P17" s="208" t="s">
        <v>80</v>
      </c>
      <c r="Q17" s="156"/>
    </row>
    <row r="18" spans="2:17" x14ac:dyDescent="0.3">
      <c r="J18" s="282" t="s">
        <v>81</v>
      </c>
      <c r="K18" s="282"/>
      <c r="L18" s="282"/>
      <c r="M18" s="208"/>
      <c r="N18" s="35">
        <f>(N15-N17)+N16</f>
        <v>2747507.5</v>
      </c>
      <c r="P18" s="212" t="s">
        <v>70</v>
      </c>
      <c r="Q18" s="156">
        <v>2</v>
      </c>
    </row>
    <row r="19" spans="2:17" ht="15" thickBot="1" x14ac:dyDescent="0.35">
      <c r="B19" s="2"/>
      <c r="C19" s="2"/>
      <c r="D19" s="2"/>
      <c r="E19" s="2"/>
      <c r="F19" s="2"/>
      <c r="G19" s="2"/>
      <c r="H19" s="2"/>
      <c r="I19" s="2"/>
      <c r="J19" s="289"/>
      <c r="K19" s="289"/>
      <c r="L19" s="289"/>
      <c r="M19" s="211"/>
      <c r="N19" s="2"/>
      <c r="O19" s="3"/>
      <c r="P19" s="212" t="s">
        <v>82</v>
      </c>
      <c r="Q19" s="156">
        <v>76</v>
      </c>
    </row>
    <row r="20" spans="2:17" x14ac:dyDescent="0.3">
      <c r="P20" s="33" t="s">
        <v>83</v>
      </c>
      <c r="Q20" s="156"/>
    </row>
    <row r="21" spans="2:17" x14ac:dyDescent="0.3">
      <c r="B21" s="128" t="s">
        <v>84</v>
      </c>
      <c r="C21" s="129"/>
      <c r="D21" s="130"/>
      <c r="F21" s="128" t="s">
        <v>85</v>
      </c>
      <c r="G21" s="127"/>
      <c r="H21" s="130"/>
      <c r="J21" s="128" t="s">
        <v>86</v>
      </c>
      <c r="K21" s="128"/>
      <c r="L21" s="128"/>
      <c r="M21" s="131"/>
      <c r="N21" s="130"/>
      <c r="P21" s="33" t="s">
        <v>87</v>
      </c>
      <c r="Q21" s="156" t="s">
        <v>228</v>
      </c>
    </row>
    <row r="22" spans="2:17" x14ac:dyDescent="0.3">
      <c r="B22" t="s">
        <v>88</v>
      </c>
      <c r="D22" s="168">
        <f>23/4</f>
        <v>5.75</v>
      </c>
      <c r="F22" s="7" t="s">
        <v>258</v>
      </c>
      <c r="H22" s="117">
        <v>80000</v>
      </c>
      <c r="J22" s="290" t="s">
        <v>89</v>
      </c>
      <c r="K22" s="290"/>
      <c r="L22" s="290"/>
      <c r="M22" s="213"/>
      <c r="N22" s="121">
        <v>8100000</v>
      </c>
      <c r="P22" s="212" t="s">
        <v>83</v>
      </c>
      <c r="Q22" s="156"/>
    </row>
    <row r="23" spans="2:17" x14ac:dyDescent="0.3">
      <c r="B23" t="s">
        <v>90</v>
      </c>
      <c r="D23" s="184">
        <f>'Cash Flow 10 Yr'!E8</f>
        <v>1299158.5441383102</v>
      </c>
      <c r="F23" t="s">
        <v>91</v>
      </c>
      <c r="H23" s="118">
        <v>25000</v>
      </c>
      <c r="J23" s="263" t="s">
        <v>166</v>
      </c>
      <c r="K23" s="263"/>
      <c r="L23" s="263"/>
      <c r="M23" s="212"/>
      <c r="N23" s="86">
        <f>'Sources &amp; Uses'!J19</f>
        <v>300000</v>
      </c>
      <c r="P23" s="212" t="s">
        <v>92</v>
      </c>
      <c r="Q23" s="156"/>
    </row>
    <row r="24" spans="2:17" ht="15" thickBot="1" x14ac:dyDescent="0.35">
      <c r="B24" t="s">
        <v>93</v>
      </c>
      <c r="D24" s="120">
        <f>SUM('Rent Roll'!AC24:AC24)</f>
        <v>712757</v>
      </c>
      <c r="F24" t="s">
        <v>240</v>
      </c>
      <c r="H24" s="118">
        <v>70000</v>
      </c>
      <c r="J24" s="263" t="s">
        <v>227</v>
      </c>
      <c r="K24" s="263"/>
      <c r="L24" s="263"/>
      <c r="M24" s="212"/>
      <c r="N24" s="87">
        <f>SUM(N22:N23)</f>
        <v>8400000</v>
      </c>
      <c r="P24" s="212" t="s">
        <v>94</v>
      </c>
      <c r="Q24" s="156"/>
    </row>
    <row r="25" spans="2:17" ht="15" thickBot="1" x14ac:dyDescent="0.35">
      <c r="B25" t="s">
        <v>95</v>
      </c>
      <c r="D25" s="120">
        <f>SUM('Rent Roll'!AC26:AC27)</f>
        <v>258260</v>
      </c>
      <c r="F25" t="s">
        <v>257</v>
      </c>
      <c r="H25" s="118">
        <v>15000</v>
      </c>
      <c r="J25" s="212" t="s">
        <v>103</v>
      </c>
      <c r="K25" s="212"/>
      <c r="L25" s="34"/>
      <c r="M25" s="237">
        <v>2.5000000000000001E-3</v>
      </c>
      <c r="N25" s="123">
        <f>N17*M25</f>
        <v>15187.5</v>
      </c>
      <c r="P25" s="212" t="s">
        <v>96</v>
      </c>
      <c r="Q25" s="156"/>
    </row>
    <row r="26" spans="2:17" x14ac:dyDescent="0.3">
      <c r="B26" t="s">
        <v>97</v>
      </c>
      <c r="D26" s="182">
        <f>SUM('Rent Roll'!AC29:AC30)</f>
        <v>231344</v>
      </c>
      <c r="F26" s="208" t="s">
        <v>98</v>
      </c>
      <c r="G26" s="207"/>
      <c r="H26" s="118">
        <v>5000</v>
      </c>
      <c r="J26" s="212" t="s">
        <v>105</v>
      </c>
      <c r="K26" s="212"/>
      <c r="L26" s="212"/>
      <c r="M26" s="212"/>
      <c r="N26" s="122">
        <v>15000</v>
      </c>
      <c r="P26" s="212" t="s">
        <v>100</v>
      </c>
      <c r="Q26" s="156"/>
    </row>
    <row r="27" spans="2:17" x14ac:dyDescent="0.3">
      <c r="B27" t="s">
        <v>101</v>
      </c>
      <c r="C27" s="73"/>
      <c r="D27" s="120">
        <f>'Cash Flow 10 Yr'!E10</f>
        <v>1224361</v>
      </c>
      <c r="F27" s="208" t="s">
        <v>102</v>
      </c>
      <c r="G27" s="207"/>
      <c r="H27" s="118">
        <v>80000</v>
      </c>
      <c r="J27" s="212" t="s">
        <v>249</v>
      </c>
      <c r="K27" s="212"/>
      <c r="L27" s="212"/>
      <c r="M27" s="212"/>
      <c r="N27" s="122">
        <v>10000</v>
      </c>
      <c r="P27" s="209">
        <v>1</v>
      </c>
      <c r="Q27" s="156"/>
    </row>
    <row r="28" spans="2:17" x14ac:dyDescent="0.3">
      <c r="B28" s="7"/>
      <c r="C28" s="73"/>
      <c r="D28" s="120"/>
      <c r="F28" s="208" t="s">
        <v>104</v>
      </c>
      <c r="G28" s="207"/>
      <c r="H28" s="118">
        <v>5000</v>
      </c>
      <c r="J28" s="212" t="s">
        <v>108</v>
      </c>
      <c r="K28" s="212"/>
      <c r="L28" s="212"/>
      <c r="M28" s="212"/>
      <c r="N28" s="122">
        <v>8000</v>
      </c>
      <c r="P28" s="209">
        <v>2</v>
      </c>
      <c r="Q28" s="156"/>
    </row>
    <row r="29" spans="2:17" x14ac:dyDescent="0.3">
      <c r="B29" s="7" t="s">
        <v>106</v>
      </c>
      <c r="C29" s="73"/>
      <c r="D29" s="120">
        <f>'Rent Roll'!W33</f>
        <v>49107</v>
      </c>
      <c r="F29" s="208" t="s">
        <v>107</v>
      </c>
      <c r="G29" s="207"/>
      <c r="H29" s="118">
        <v>50000</v>
      </c>
      <c r="J29" s="212" t="s">
        <v>110</v>
      </c>
      <c r="K29" s="212"/>
      <c r="L29" s="212"/>
      <c r="M29" s="212"/>
      <c r="N29" s="122">
        <v>15000</v>
      </c>
      <c r="P29" s="209">
        <v>3</v>
      </c>
      <c r="Q29" s="156"/>
    </row>
    <row r="30" spans="2:17" x14ac:dyDescent="0.3">
      <c r="B30" s="7" t="s">
        <v>109</v>
      </c>
      <c r="C30" s="73"/>
      <c r="D30" s="120">
        <f>'Rent Roll'!X33</f>
        <v>3000</v>
      </c>
      <c r="F30" s="56" t="s">
        <v>239</v>
      </c>
      <c r="H30" s="118">
        <v>10000</v>
      </c>
      <c r="J30" s="212" t="s">
        <v>113</v>
      </c>
      <c r="K30" s="212"/>
      <c r="L30" s="212"/>
      <c r="M30" s="212"/>
      <c r="N30" s="122">
        <v>5000</v>
      </c>
      <c r="P30" s="209">
        <v>4</v>
      </c>
      <c r="Q30" s="156"/>
    </row>
    <row r="31" spans="2:17" ht="15" thickBot="1" x14ac:dyDescent="0.35">
      <c r="B31" s="7" t="s">
        <v>111</v>
      </c>
      <c r="D31" s="169">
        <f>D29/SUM(D29:D30)</f>
        <v>0.94242616155219072</v>
      </c>
      <c r="F31" t="s">
        <v>112</v>
      </c>
      <c r="H31" s="118">
        <v>4000</v>
      </c>
      <c r="J31" s="212" t="s">
        <v>116</v>
      </c>
      <c r="K31" s="212"/>
      <c r="L31" s="212"/>
      <c r="N31" s="122">
        <v>2000</v>
      </c>
      <c r="P31" s="209">
        <v>5</v>
      </c>
      <c r="Q31" s="156"/>
    </row>
    <row r="32" spans="2:17" ht="15" thickBot="1" x14ac:dyDescent="0.35">
      <c r="B32" t="str">
        <f>'Rent Roll'!V36</f>
        <v>Avg. SqFt</v>
      </c>
      <c r="D32" s="185">
        <f>'Rent Roll'!AC36</f>
        <v>24.932514712770075</v>
      </c>
      <c r="E32" s="3"/>
      <c r="F32" t="s">
        <v>115</v>
      </c>
      <c r="G32" s="116">
        <v>0.03</v>
      </c>
      <c r="H32" s="119">
        <f>'Cash Flow 10 Yr'!E25</f>
        <v>36730.83</v>
      </c>
      <c r="J32" s="212" t="s">
        <v>119</v>
      </c>
      <c r="K32" s="212"/>
      <c r="L32" s="212"/>
      <c r="M32" s="212"/>
      <c r="N32" s="122">
        <v>5000</v>
      </c>
      <c r="P32" s="212" t="s">
        <v>114</v>
      </c>
      <c r="Q32" s="156"/>
    </row>
    <row r="33" spans="2:17" ht="15" thickBot="1" x14ac:dyDescent="0.35">
      <c r="B33" s="228"/>
      <c r="C33" s="229"/>
      <c r="D33" s="229"/>
      <c r="F33" t="s">
        <v>118</v>
      </c>
      <c r="G33" s="116">
        <v>0.01</v>
      </c>
      <c r="H33" s="119">
        <f>'Cash Flow 10 Yr'!E26</f>
        <v>12243.61</v>
      </c>
      <c r="J33" s="212" t="s">
        <v>241</v>
      </c>
      <c r="K33" s="212"/>
      <c r="L33" s="212"/>
      <c r="M33" s="212"/>
      <c r="N33" s="122">
        <v>15000</v>
      </c>
      <c r="P33" s="212" t="s">
        <v>117</v>
      </c>
      <c r="Q33" s="156"/>
    </row>
    <row r="34" spans="2:17" ht="15" thickBot="1" x14ac:dyDescent="0.35">
      <c r="B34" s="33"/>
      <c r="C34" s="33"/>
      <c r="D34" s="227"/>
      <c r="F34" t="s">
        <v>121</v>
      </c>
      <c r="G34" s="116">
        <v>0.05</v>
      </c>
      <c r="H34" s="119">
        <f>'Cash Flow 10 Yr'!E27</f>
        <v>61218.05</v>
      </c>
      <c r="J34" s="212" t="s">
        <v>242</v>
      </c>
      <c r="K34" s="212"/>
      <c r="L34" s="212"/>
      <c r="M34" s="208"/>
      <c r="N34" s="122">
        <v>10000</v>
      </c>
      <c r="P34" s="212" t="s">
        <v>120</v>
      </c>
      <c r="Q34" s="156"/>
    </row>
    <row r="35" spans="2:17" ht="15" thickBot="1" x14ac:dyDescent="0.35">
      <c r="B35" s="212"/>
      <c r="C35" s="212"/>
      <c r="D35" s="90"/>
      <c r="F35" t="s">
        <v>123</v>
      </c>
      <c r="H35" s="118">
        <v>3000</v>
      </c>
      <c r="J35" s="56" t="s">
        <v>125</v>
      </c>
      <c r="K35" s="56"/>
      <c r="L35" s="56"/>
      <c r="M35" s="126">
        <v>0.02</v>
      </c>
      <c r="N35" s="88">
        <f>N24*M35</f>
        <v>168000</v>
      </c>
      <c r="P35" s="208" t="s">
        <v>122</v>
      </c>
      <c r="Q35" s="148">
        <v>44743</v>
      </c>
    </row>
    <row r="36" spans="2:17" x14ac:dyDescent="0.3">
      <c r="B36" s="212"/>
      <c r="C36" s="212"/>
      <c r="D36" s="90"/>
      <c r="F36" t="s">
        <v>124</v>
      </c>
      <c r="H36" s="115">
        <v>0.04</v>
      </c>
      <c r="J36" s="56" t="s">
        <v>127</v>
      </c>
      <c r="K36" s="56"/>
      <c r="L36" s="56"/>
      <c r="M36" s="208"/>
      <c r="N36" s="89">
        <f>ROUNDUP(('Cash Flow 10 Yr'!E29+-'Cash Flow 10 Yr'!E36)/6,-1)</f>
        <v>154320</v>
      </c>
      <c r="Q36" s="208"/>
    </row>
    <row r="37" spans="2:17" x14ac:dyDescent="0.3">
      <c r="B37" s="212"/>
      <c r="C37" s="212"/>
      <c r="D37" s="90"/>
      <c r="F37" t="s">
        <v>126</v>
      </c>
      <c r="H37" s="115">
        <v>0.08</v>
      </c>
      <c r="J37" s="208" t="s">
        <v>128</v>
      </c>
      <c r="K37" s="208"/>
      <c r="L37" s="208"/>
      <c r="M37" s="208"/>
      <c r="N37" s="91">
        <f>SUM(N25:N36)</f>
        <v>422507.5</v>
      </c>
      <c r="Q37" s="208"/>
    </row>
    <row r="38" spans="2:17" x14ac:dyDescent="0.3">
      <c r="J38" s="208" t="s">
        <v>170</v>
      </c>
      <c r="N38" s="88">
        <f>SUM(N24,N37)</f>
        <v>8822507.5</v>
      </c>
      <c r="Q38" s="208"/>
    </row>
    <row r="39" spans="2:17" x14ac:dyDescent="0.3">
      <c r="J39" s="208" t="s">
        <v>129</v>
      </c>
      <c r="K39" s="208"/>
      <c r="L39" s="208"/>
      <c r="M39" s="208"/>
      <c r="N39" s="88">
        <f>N18</f>
        <v>2747507.5</v>
      </c>
    </row>
    <row r="40" spans="2:17" x14ac:dyDescent="0.3">
      <c r="Q40" s="208"/>
    </row>
    <row r="41" spans="2:17" x14ac:dyDescent="0.3">
      <c r="Q41" s="208"/>
    </row>
  </sheetData>
  <mergeCells count="17">
    <mergeCell ref="J9:L9"/>
    <mergeCell ref="J10:L10"/>
    <mergeCell ref="H1:K1"/>
    <mergeCell ref="J11:L11"/>
    <mergeCell ref="J13:L13"/>
    <mergeCell ref="J6:L6"/>
    <mergeCell ref="J7:L7"/>
    <mergeCell ref="J8:L8"/>
    <mergeCell ref="J24:L24"/>
    <mergeCell ref="J23:L23"/>
    <mergeCell ref="J22:L22"/>
    <mergeCell ref="J19:L19"/>
    <mergeCell ref="J12:L12"/>
    <mergeCell ref="J18:L18"/>
    <mergeCell ref="J15:L15"/>
    <mergeCell ref="J16:L16"/>
    <mergeCell ref="J17:L17"/>
  </mergeCells>
  <pageMargins left="0.25" right="0.25" top="0.75" bottom="0.75" header="0.3" footer="0.3"/>
  <pageSetup paperSize="5" scale="65" fitToHeight="0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0DEA6-D95B-4F67-86DA-ABED2619364B}">
  <dimension ref="A1:FF45"/>
  <sheetViews>
    <sheetView showGridLines="0" topLeftCell="A7" zoomScale="80" zoomScaleNormal="80" workbookViewId="0">
      <selection activeCell="X32" sqref="X32"/>
    </sheetView>
  </sheetViews>
  <sheetFormatPr defaultRowHeight="14.4" x14ac:dyDescent="0.3"/>
  <cols>
    <col min="1" max="9" width="1.6640625" customWidth="1"/>
    <col min="10" max="10" width="4" customWidth="1"/>
    <col min="11" max="11" width="3.109375" customWidth="1"/>
    <col min="12" max="19" width="1.6640625" customWidth="1"/>
    <col min="20" max="20" width="9" bestFit="1" customWidth="1"/>
    <col min="21" max="21" width="11.33203125" bestFit="1" customWidth="1"/>
    <col min="22" max="22" width="9" customWidth="1"/>
    <col min="23" max="23" width="11.6640625" bestFit="1" customWidth="1"/>
    <col min="24" max="24" width="11.33203125" bestFit="1" customWidth="1"/>
    <col min="25" max="27" width="1.6640625" customWidth="1"/>
    <col min="28" max="28" width="11.33203125" style="9" bestFit="1" customWidth="1"/>
    <col min="29" max="38" width="15.109375" bestFit="1" customWidth="1"/>
    <col min="39" max="39" width="10.6640625" customWidth="1"/>
    <col min="40" max="40" width="10.6640625" style="9" customWidth="1"/>
    <col min="41" max="51" width="10.6640625" customWidth="1"/>
    <col min="52" max="52" width="13.33203125" style="9" bestFit="1" customWidth="1"/>
    <col min="53" max="63" width="10.6640625" customWidth="1"/>
    <col min="64" max="64" width="13.33203125" style="9" bestFit="1" customWidth="1"/>
    <col min="65" max="75" width="10.6640625" customWidth="1"/>
    <col min="76" max="76" width="10.6640625" style="9" customWidth="1"/>
    <col min="77" max="87" width="10.6640625" customWidth="1"/>
    <col min="88" max="88" width="14.33203125" style="9" bestFit="1" customWidth="1"/>
    <col min="89" max="99" width="10.6640625" customWidth="1"/>
    <col min="100" max="100" width="14.33203125" style="9" bestFit="1" customWidth="1"/>
    <col min="101" max="111" width="10.6640625" customWidth="1"/>
    <col min="112" max="112" width="10.6640625" style="9" customWidth="1"/>
    <col min="113" max="123" width="10.6640625" customWidth="1"/>
    <col min="124" max="124" width="10.6640625" style="9" customWidth="1"/>
    <col min="125" max="135" width="10.6640625" customWidth="1"/>
    <col min="136" max="136" width="10.6640625" style="9" customWidth="1"/>
    <col min="137" max="147" width="10.6640625" customWidth="1"/>
    <col min="148" max="148" width="10.6640625" style="9" customWidth="1"/>
    <col min="149" max="159" width="10.6640625" customWidth="1"/>
    <col min="160" max="160" width="15.6640625" customWidth="1"/>
  </cols>
  <sheetData>
    <row r="1" spans="1:160" ht="18" x14ac:dyDescent="0.35">
      <c r="AE1" s="275" t="s">
        <v>0</v>
      </c>
      <c r="AF1" s="275"/>
      <c r="AG1" s="275"/>
    </row>
    <row r="2" spans="1:160" s="136" customFormat="1" ht="21" x14ac:dyDescent="0.4">
      <c r="B2" s="137" t="s">
        <v>130</v>
      </c>
      <c r="T2" s="167"/>
      <c r="U2" s="167"/>
      <c r="V2" s="167"/>
      <c r="AB2" s="138">
        <f>'Dashboard Control'!Q35</f>
        <v>44743</v>
      </c>
      <c r="AC2" s="139">
        <f>EOMONTH(AB2,1)</f>
        <v>44804</v>
      </c>
      <c r="AD2" s="139">
        <f t="shared" ref="AD2:CO2" si="0">EOMONTH(AC2,1)</f>
        <v>44834</v>
      </c>
      <c r="AE2" s="139">
        <f t="shared" si="0"/>
        <v>44865</v>
      </c>
      <c r="AF2" s="139">
        <f t="shared" si="0"/>
        <v>44895</v>
      </c>
      <c r="AG2" s="139">
        <f t="shared" si="0"/>
        <v>44926</v>
      </c>
      <c r="AH2" s="139">
        <f t="shared" si="0"/>
        <v>44957</v>
      </c>
      <c r="AI2" s="139">
        <f t="shared" si="0"/>
        <v>44985</v>
      </c>
      <c r="AJ2" s="139">
        <f t="shared" si="0"/>
        <v>45016</v>
      </c>
      <c r="AK2" s="139">
        <f t="shared" si="0"/>
        <v>45046</v>
      </c>
      <c r="AL2" s="139">
        <f t="shared" si="0"/>
        <v>45077</v>
      </c>
      <c r="AM2" s="139">
        <f t="shared" si="0"/>
        <v>45107</v>
      </c>
      <c r="AN2" s="138">
        <f t="shared" si="0"/>
        <v>45138</v>
      </c>
      <c r="AO2" s="139">
        <f t="shared" si="0"/>
        <v>45169</v>
      </c>
      <c r="AP2" s="139">
        <f t="shared" si="0"/>
        <v>45199</v>
      </c>
      <c r="AQ2" s="139">
        <f t="shared" si="0"/>
        <v>45230</v>
      </c>
      <c r="AR2" s="139">
        <f t="shared" si="0"/>
        <v>45260</v>
      </c>
      <c r="AS2" s="139">
        <f t="shared" si="0"/>
        <v>45291</v>
      </c>
      <c r="AT2" s="139">
        <f t="shared" si="0"/>
        <v>45322</v>
      </c>
      <c r="AU2" s="139">
        <f t="shared" si="0"/>
        <v>45351</v>
      </c>
      <c r="AV2" s="139">
        <f t="shared" si="0"/>
        <v>45382</v>
      </c>
      <c r="AW2" s="139">
        <f t="shared" si="0"/>
        <v>45412</v>
      </c>
      <c r="AX2" s="139">
        <f t="shared" si="0"/>
        <v>45443</v>
      </c>
      <c r="AY2" s="139">
        <f t="shared" si="0"/>
        <v>45473</v>
      </c>
      <c r="AZ2" s="138">
        <f t="shared" si="0"/>
        <v>45504</v>
      </c>
      <c r="BA2" s="139">
        <f t="shared" si="0"/>
        <v>45535</v>
      </c>
      <c r="BB2" s="139">
        <f t="shared" si="0"/>
        <v>45565</v>
      </c>
      <c r="BC2" s="139">
        <f t="shared" si="0"/>
        <v>45596</v>
      </c>
      <c r="BD2" s="139">
        <f t="shared" si="0"/>
        <v>45626</v>
      </c>
      <c r="BE2" s="139">
        <f t="shared" si="0"/>
        <v>45657</v>
      </c>
      <c r="BF2" s="139">
        <f t="shared" si="0"/>
        <v>45688</v>
      </c>
      <c r="BG2" s="139">
        <f t="shared" si="0"/>
        <v>45716</v>
      </c>
      <c r="BH2" s="139">
        <f t="shared" si="0"/>
        <v>45747</v>
      </c>
      <c r="BI2" s="139">
        <f t="shared" si="0"/>
        <v>45777</v>
      </c>
      <c r="BJ2" s="139">
        <f t="shared" si="0"/>
        <v>45808</v>
      </c>
      <c r="BK2" s="139">
        <f t="shared" si="0"/>
        <v>45838</v>
      </c>
      <c r="BL2" s="138">
        <f t="shared" si="0"/>
        <v>45869</v>
      </c>
      <c r="BM2" s="139">
        <f t="shared" si="0"/>
        <v>45900</v>
      </c>
      <c r="BN2" s="139">
        <f t="shared" si="0"/>
        <v>45930</v>
      </c>
      <c r="BO2" s="139">
        <f t="shared" si="0"/>
        <v>45961</v>
      </c>
      <c r="BP2" s="139">
        <f t="shared" si="0"/>
        <v>45991</v>
      </c>
      <c r="BQ2" s="139">
        <f t="shared" si="0"/>
        <v>46022</v>
      </c>
      <c r="BR2" s="139">
        <f t="shared" si="0"/>
        <v>46053</v>
      </c>
      <c r="BS2" s="139">
        <f t="shared" si="0"/>
        <v>46081</v>
      </c>
      <c r="BT2" s="139">
        <f t="shared" si="0"/>
        <v>46112</v>
      </c>
      <c r="BU2" s="139">
        <f t="shared" si="0"/>
        <v>46142</v>
      </c>
      <c r="BV2" s="139">
        <f t="shared" si="0"/>
        <v>46173</v>
      </c>
      <c r="BW2" s="139">
        <f t="shared" si="0"/>
        <v>46203</v>
      </c>
      <c r="BX2" s="138">
        <f t="shared" si="0"/>
        <v>46234</v>
      </c>
      <c r="BY2" s="139">
        <f t="shared" si="0"/>
        <v>46265</v>
      </c>
      <c r="BZ2" s="139">
        <f t="shared" si="0"/>
        <v>46295</v>
      </c>
      <c r="CA2" s="139">
        <f t="shared" si="0"/>
        <v>46326</v>
      </c>
      <c r="CB2" s="139">
        <f t="shared" si="0"/>
        <v>46356</v>
      </c>
      <c r="CC2" s="139">
        <f t="shared" si="0"/>
        <v>46387</v>
      </c>
      <c r="CD2" s="139">
        <f t="shared" si="0"/>
        <v>46418</v>
      </c>
      <c r="CE2" s="139">
        <f t="shared" si="0"/>
        <v>46446</v>
      </c>
      <c r="CF2" s="139">
        <f t="shared" si="0"/>
        <v>46477</v>
      </c>
      <c r="CG2" s="139">
        <f t="shared" si="0"/>
        <v>46507</v>
      </c>
      <c r="CH2" s="139">
        <f t="shared" si="0"/>
        <v>46538</v>
      </c>
      <c r="CI2" s="139">
        <f t="shared" si="0"/>
        <v>46568</v>
      </c>
      <c r="CJ2" s="138">
        <f t="shared" si="0"/>
        <v>46599</v>
      </c>
      <c r="CK2" s="139">
        <f t="shared" si="0"/>
        <v>46630</v>
      </c>
      <c r="CL2" s="139">
        <f t="shared" si="0"/>
        <v>46660</v>
      </c>
      <c r="CM2" s="139">
        <f t="shared" si="0"/>
        <v>46691</v>
      </c>
      <c r="CN2" s="139">
        <f t="shared" si="0"/>
        <v>46721</v>
      </c>
      <c r="CO2" s="139">
        <f t="shared" si="0"/>
        <v>46752</v>
      </c>
      <c r="CP2" s="139">
        <f t="shared" ref="CP2:FA2" si="1">EOMONTH(CO2,1)</f>
        <v>46783</v>
      </c>
      <c r="CQ2" s="139">
        <f t="shared" si="1"/>
        <v>46812</v>
      </c>
      <c r="CR2" s="139">
        <f t="shared" si="1"/>
        <v>46843</v>
      </c>
      <c r="CS2" s="139">
        <f t="shared" si="1"/>
        <v>46873</v>
      </c>
      <c r="CT2" s="139">
        <f t="shared" si="1"/>
        <v>46904</v>
      </c>
      <c r="CU2" s="139">
        <f t="shared" si="1"/>
        <v>46934</v>
      </c>
      <c r="CV2" s="138">
        <f t="shared" si="1"/>
        <v>46965</v>
      </c>
      <c r="CW2" s="139">
        <f t="shared" si="1"/>
        <v>46996</v>
      </c>
      <c r="CX2" s="139">
        <f t="shared" si="1"/>
        <v>47026</v>
      </c>
      <c r="CY2" s="139">
        <f t="shared" si="1"/>
        <v>47057</v>
      </c>
      <c r="CZ2" s="139">
        <f t="shared" si="1"/>
        <v>47087</v>
      </c>
      <c r="DA2" s="139">
        <f t="shared" si="1"/>
        <v>47118</v>
      </c>
      <c r="DB2" s="139">
        <f t="shared" si="1"/>
        <v>47149</v>
      </c>
      <c r="DC2" s="139">
        <f t="shared" si="1"/>
        <v>47177</v>
      </c>
      <c r="DD2" s="139">
        <f t="shared" si="1"/>
        <v>47208</v>
      </c>
      <c r="DE2" s="139">
        <f t="shared" si="1"/>
        <v>47238</v>
      </c>
      <c r="DF2" s="139">
        <f t="shared" si="1"/>
        <v>47269</v>
      </c>
      <c r="DG2" s="139">
        <f t="shared" si="1"/>
        <v>47299</v>
      </c>
      <c r="DH2" s="138">
        <f t="shared" si="1"/>
        <v>47330</v>
      </c>
      <c r="DI2" s="139">
        <f t="shared" si="1"/>
        <v>47361</v>
      </c>
      <c r="DJ2" s="139">
        <f t="shared" si="1"/>
        <v>47391</v>
      </c>
      <c r="DK2" s="139">
        <f t="shared" si="1"/>
        <v>47422</v>
      </c>
      <c r="DL2" s="139">
        <f t="shared" si="1"/>
        <v>47452</v>
      </c>
      <c r="DM2" s="139">
        <f t="shared" si="1"/>
        <v>47483</v>
      </c>
      <c r="DN2" s="139">
        <f t="shared" si="1"/>
        <v>47514</v>
      </c>
      <c r="DO2" s="139">
        <f t="shared" si="1"/>
        <v>47542</v>
      </c>
      <c r="DP2" s="139">
        <f t="shared" si="1"/>
        <v>47573</v>
      </c>
      <c r="DQ2" s="139">
        <f t="shared" si="1"/>
        <v>47603</v>
      </c>
      <c r="DR2" s="139">
        <f t="shared" si="1"/>
        <v>47634</v>
      </c>
      <c r="DS2" s="139">
        <f t="shared" si="1"/>
        <v>47664</v>
      </c>
      <c r="DT2" s="138">
        <f t="shared" si="1"/>
        <v>47695</v>
      </c>
      <c r="DU2" s="139">
        <f t="shared" si="1"/>
        <v>47726</v>
      </c>
      <c r="DV2" s="139">
        <f t="shared" si="1"/>
        <v>47756</v>
      </c>
      <c r="DW2" s="139">
        <f t="shared" si="1"/>
        <v>47787</v>
      </c>
      <c r="DX2" s="139">
        <f t="shared" si="1"/>
        <v>47817</v>
      </c>
      <c r="DY2" s="139">
        <f t="shared" si="1"/>
        <v>47848</v>
      </c>
      <c r="DZ2" s="139">
        <f t="shared" si="1"/>
        <v>47879</v>
      </c>
      <c r="EA2" s="139">
        <f t="shared" si="1"/>
        <v>47907</v>
      </c>
      <c r="EB2" s="139">
        <f t="shared" si="1"/>
        <v>47938</v>
      </c>
      <c r="EC2" s="139">
        <f t="shared" si="1"/>
        <v>47968</v>
      </c>
      <c r="ED2" s="139">
        <f t="shared" si="1"/>
        <v>47999</v>
      </c>
      <c r="EE2" s="139">
        <f t="shared" si="1"/>
        <v>48029</v>
      </c>
      <c r="EF2" s="138">
        <f t="shared" si="1"/>
        <v>48060</v>
      </c>
      <c r="EG2" s="139">
        <f t="shared" si="1"/>
        <v>48091</v>
      </c>
      <c r="EH2" s="139">
        <f t="shared" si="1"/>
        <v>48121</v>
      </c>
      <c r="EI2" s="139">
        <f t="shared" si="1"/>
        <v>48152</v>
      </c>
      <c r="EJ2" s="139">
        <f t="shared" si="1"/>
        <v>48182</v>
      </c>
      <c r="EK2" s="139">
        <f t="shared" si="1"/>
        <v>48213</v>
      </c>
      <c r="EL2" s="139">
        <f t="shared" si="1"/>
        <v>48244</v>
      </c>
      <c r="EM2" s="139">
        <f t="shared" si="1"/>
        <v>48273</v>
      </c>
      <c r="EN2" s="139">
        <f t="shared" si="1"/>
        <v>48304</v>
      </c>
      <c r="EO2" s="139">
        <f t="shared" si="1"/>
        <v>48334</v>
      </c>
      <c r="EP2" s="139">
        <f t="shared" si="1"/>
        <v>48365</v>
      </c>
      <c r="EQ2" s="139">
        <f t="shared" si="1"/>
        <v>48395</v>
      </c>
      <c r="ER2" s="138">
        <f t="shared" si="1"/>
        <v>48426</v>
      </c>
      <c r="ES2" s="139">
        <f t="shared" si="1"/>
        <v>48457</v>
      </c>
      <c r="ET2" s="139">
        <f t="shared" si="1"/>
        <v>48487</v>
      </c>
      <c r="EU2" s="139">
        <f t="shared" si="1"/>
        <v>48518</v>
      </c>
      <c r="EV2" s="139">
        <f t="shared" si="1"/>
        <v>48548</v>
      </c>
      <c r="EW2" s="139">
        <f t="shared" si="1"/>
        <v>48579</v>
      </c>
      <c r="EX2" s="139">
        <f t="shared" si="1"/>
        <v>48610</v>
      </c>
      <c r="EY2" s="139">
        <f t="shared" si="1"/>
        <v>48638</v>
      </c>
      <c r="EZ2" s="139">
        <f t="shared" si="1"/>
        <v>48669</v>
      </c>
      <c r="FA2" s="139">
        <f t="shared" si="1"/>
        <v>48699</v>
      </c>
      <c r="FB2" s="139">
        <f t="shared" ref="FB2:FD2" si="2">EOMONTH(FA2,1)</f>
        <v>48730</v>
      </c>
      <c r="FC2" s="139">
        <f t="shared" si="2"/>
        <v>48760</v>
      </c>
      <c r="FD2" s="139">
        <f t="shared" si="2"/>
        <v>48791</v>
      </c>
    </row>
    <row r="3" spans="1:160" s="6" customFormat="1" x14ac:dyDescent="0.3">
      <c r="B3" s="132" t="str">
        <f>'Dashboard Control'!B3</f>
        <v>Miller Building</v>
      </c>
      <c r="AB3" s="94" t="s">
        <v>131</v>
      </c>
      <c r="AC3" s="6">
        <v>1</v>
      </c>
      <c r="AD3" s="6">
        <v>2</v>
      </c>
      <c r="AE3" s="6">
        <v>3</v>
      </c>
      <c r="AF3" s="6">
        <v>4</v>
      </c>
      <c r="AG3" s="6">
        <v>5</v>
      </c>
      <c r="AH3" s="6">
        <v>6</v>
      </c>
      <c r="AI3" s="6">
        <v>7</v>
      </c>
      <c r="AJ3" s="6">
        <v>8</v>
      </c>
      <c r="AK3" s="6">
        <v>9</v>
      </c>
      <c r="AL3" s="6">
        <v>10</v>
      </c>
      <c r="AM3" s="6">
        <v>11</v>
      </c>
      <c r="AN3" s="94">
        <v>12</v>
      </c>
      <c r="AO3" s="6">
        <v>13</v>
      </c>
      <c r="AP3" s="6">
        <v>14</v>
      </c>
      <c r="AQ3" s="6">
        <v>15</v>
      </c>
      <c r="AR3" s="6">
        <v>16</v>
      </c>
      <c r="AS3" s="6">
        <v>17</v>
      </c>
      <c r="AT3" s="6">
        <v>18</v>
      </c>
      <c r="AU3" s="6">
        <v>19</v>
      </c>
      <c r="AV3" s="6">
        <v>20</v>
      </c>
      <c r="AW3" s="6">
        <v>21</v>
      </c>
      <c r="AX3" s="6">
        <v>22</v>
      </c>
      <c r="AY3" s="6">
        <v>23</v>
      </c>
      <c r="AZ3" s="94">
        <v>24</v>
      </c>
      <c r="BA3" s="6">
        <v>25</v>
      </c>
      <c r="BB3" s="6">
        <v>26</v>
      </c>
      <c r="BC3" s="6">
        <v>27</v>
      </c>
      <c r="BD3" s="6">
        <v>28</v>
      </c>
      <c r="BE3" s="6">
        <v>29</v>
      </c>
      <c r="BF3" s="6">
        <v>30</v>
      </c>
      <c r="BG3" s="6">
        <v>31</v>
      </c>
      <c r="BH3" s="6">
        <v>32</v>
      </c>
      <c r="BI3" s="6">
        <v>33</v>
      </c>
      <c r="BJ3" s="6">
        <v>34</v>
      </c>
      <c r="BK3" s="6">
        <v>35</v>
      </c>
      <c r="BL3" s="94">
        <v>36</v>
      </c>
      <c r="BM3" s="6">
        <v>37</v>
      </c>
      <c r="BN3" s="6">
        <v>38</v>
      </c>
      <c r="BO3" s="6">
        <v>39</v>
      </c>
      <c r="BP3" s="6">
        <v>40</v>
      </c>
      <c r="BQ3" s="6">
        <v>41</v>
      </c>
      <c r="BR3" s="6">
        <v>42</v>
      </c>
      <c r="BS3" s="6">
        <v>43</v>
      </c>
      <c r="BT3" s="6">
        <v>44</v>
      </c>
      <c r="BU3" s="6">
        <v>45</v>
      </c>
      <c r="BV3" s="6">
        <v>46</v>
      </c>
      <c r="BW3" s="6">
        <v>47</v>
      </c>
      <c r="BX3" s="94">
        <v>48</v>
      </c>
      <c r="BY3" s="6">
        <v>49</v>
      </c>
      <c r="BZ3" s="6">
        <v>50</v>
      </c>
      <c r="CA3" s="6">
        <v>51</v>
      </c>
      <c r="CB3" s="6">
        <v>52</v>
      </c>
      <c r="CC3" s="6">
        <v>53</v>
      </c>
      <c r="CD3" s="6">
        <v>54</v>
      </c>
      <c r="CE3" s="6">
        <v>55</v>
      </c>
      <c r="CF3" s="6">
        <v>56</v>
      </c>
      <c r="CG3" s="6">
        <v>57</v>
      </c>
      <c r="CH3" s="6">
        <v>58</v>
      </c>
      <c r="CI3" s="6">
        <v>59</v>
      </c>
      <c r="CJ3" s="94">
        <v>60</v>
      </c>
      <c r="CK3" s="6">
        <v>61</v>
      </c>
      <c r="CL3" s="6">
        <v>62</v>
      </c>
      <c r="CM3" s="6">
        <v>63</v>
      </c>
      <c r="CN3" s="6">
        <v>64</v>
      </c>
      <c r="CO3" s="6">
        <v>65</v>
      </c>
      <c r="CP3" s="6">
        <v>66</v>
      </c>
      <c r="CQ3" s="6">
        <v>67</v>
      </c>
      <c r="CR3" s="6">
        <v>68</v>
      </c>
      <c r="CS3" s="6">
        <v>69</v>
      </c>
      <c r="CT3" s="6">
        <v>70</v>
      </c>
      <c r="CU3" s="6">
        <v>71</v>
      </c>
      <c r="CV3" s="94">
        <v>72</v>
      </c>
      <c r="CW3" s="6">
        <v>73</v>
      </c>
      <c r="CX3" s="6">
        <v>74</v>
      </c>
      <c r="CY3" s="6">
        <v>75</v>
      </c>
      <c r="CZ3" s="6">
        <v>76</v>
      </c>
      <c r="DA3" s="6">
        <v>77</v>
      </c>
      <c r="DB3" s="6">
        <v>78</v>
      </c>
      <c r="DC3" s="6">
        <v>79</v>
      </c>
      <c r="DD3" s="6">
        <v>80</v>
      </c>
      <c r="DE3" s="6">
        <v>81</v>
      </c>
      <c r="DF3" s="6">
        <v>82</v>
      </c>
      <c r="DG3" s="6">
        <v>83</v>
      </c>
      <c r="DH3" s="94">
        <v>84</v>
      </c>
      <c r="DI3" s="6">
        <v>85</v>
      </c>
      <c r="DJ3" s="6">
        <v>86</v>
      </c>
      <c r="DK3" s="6">
        <v>87</v>
      </c>
      <c r="DL3" s="6">
        <v>88</v>
      </c>
      <c r="DM3" s="6">
        <v>89</v>
      </c>
      <c r="DN3" s="6">
        <v>90</v>
      </c>
      <c r="DO3" s="6">
        <v>91</v>
      </c>
      <c r="DP3" s="6">
        <v>92</v>
      </c>
      <c r="DQ3" s="6">
        <v>93</v>
      </c>
      <c r="DR3" s="6">
        <v>94</v>
      </c>
      <c r="DS3" s="6">
        <v>95</v>
      </c>
      <c r="DT3" s="94">
        <v>96</v>
      </c>
      <c r="DU3" s="6">
        <v>97</v>
      </c>
      <c r="DV3" s="6">
        <v>98</v>
      </c>
      <c r="DW3" s="6">
        <v>99</v>
      </c>
      <c r="DX3" s="6">
        <v>100</v>
      </c>
      <c r="DY3" s="6">
        <v>101</v>
      </c>
      <c r="DZ3" s="6">
        <v>102</v>
      </c>
      <c r="EA3" s="6">
        <v>103</v>
      </c>
      <c r="EB3" s="6">
        <v>104</v>
      </c>
      <c r="EC3" s="6">
        <v>105</v>
      </c>
      <c r="ED3" s="6">
        <v>106</v>
      </c>
      <c r="EE3" s="6">
        <v>107</v>
      </c>
      <c r="EF3" s="94">
        <v>108</v>
      </c>
      <c r="EG3" s="6">
        <v>109</v>
      </c>
      <c r="EH3" s="6">
        <v>110</v>
      </c>
      <c r="EI3" s="6">
        <v>111</v>
      </c>
      <c r="EJ3" s="6">
        <v>112</v>
      </c>
      <c r="EK3" s="6">
        <v>113</v>
      </c>
      <c r="EL3" s="6">
        <v>114</v>
      </c>
      <c r="EM3" s="6">
        <v>115</v>
      </c>
      <c r="EN3" s="6">
        <v>116</v>
      </c>
      <c r="EO3" s="6">
        <v>117</v>
      </c>
      <c r="EP3" s="6">
        <v>118</v>
      </c>
      <c r="EQ3" s="6">
        <v>119</v>
      </c>
      <c r="ER3" s="94">
        <v>120</v>
      </c>
      <c r="ES3" s="6">
        <v>121</v>
      </c>
      <c r="ET3" s="6">
        <v>122</v>
      </c>
      <c r="EU3" s="6">
        <v>123</v>
      </c>
      <c r="EV3" s="6">
        <v>124</v>
      </c>
      <c r="EW3" s="6">
        <v>125</v>
      </c>
      <c r="EX3" s="6">
        <v>126</v>
      </c>
      <c r="EY3" s="6">
        <v>127</v>
      </c>
      <c r="EZ3" s="6">
        <v>128</v>
      </c>
      <c r="FA3" s="6">
        <v>129</v>
      </c>
      <c r="FB3" s="6">
        <v>130</v>
      </c>
      <c r="FC3" s="6">
        <v>131</v>
      </c>
      <c r="FD3" s="6">
        <v>132</v>
      </c>
    </row>
    <row r="4" spans="1:160" s="76" customFormat="1" x14ac:dyDescent="0.3">
      <c r="AB4" s="95" t="s">
        <v>132</v>
      </c>
      <c r="AC4" s="76">
        <f>ROUNDUP(AC3/12,0)</f>
        <v>1</v>
      </c>
      <c r="AD4" s="76">
        <f t="shared" ref="AD4:CO4" si="3">ROUNDUP(AD3/12,0)</f>
        <v>1</v>
      </c>
      <c r="AE4" s="76">
        <f t="shared" si="3"/>
        <v>1</v>
      </c>
      <c r="AF4" s="76">
        <f t="shared" si="3"/>
        <v>1</v>
      </c>
      <c r="AG4" s="76">
        <f t="shared" si="3"/>
        <v>1</v>
      </c>
      <c r="AH4" s="76">
        <f t="shared" si="3"/>
        <v>1</v>
      </c>
      <c r="AI4" s="76">
        <f t="shared" si="3"/>
        <v>1</v>
      </c>
      <c r="AJ4" s="76">
        <f t="shared" si="3"/>
        <v>1</v>
      </c>
      <c r="AK4" s="76">
        <f t="shared" si="3"/>
        <v>1</v>
      </c>
      <c r="AL4" s="76">
        <f t="shared" si="3"/>
        <v>1</v>
      </c>
      <c r="AM4" s="76">
        <f t="shared" si="3"/>
        <v>1</v>
      </c>
      <c r="AN4" s="95">
        <f t="shared" si="3"/>
        <v>1</v>
      </c>
      <c r="AO4" s="76">
        <f t="shared" si="3"/>
        <v>2</v>
      </c>
      <c r="AP4" s="76">
        <f t="shared" si="3"/>
        <v>2</v>
      </c>
      <c r="AQ4" s="76">
        <f t="shared" si="3"/>
        <v>2</v>
      </c>
      <c r="AR4" s="76">
        <f t="shared" si="3"/>
        <v>2</v>
      </c>
      <c r="AS4" s="76">
        <f t="shared" si="3"/>
        <v>2</v>
      </c>
      <c r="AT4" s="76">
        <f t="shared" si="3"/>
        <v>2</v>
      </c>
      <c r="AU4" s="76">
        <f t="shared" si="3"/>
        <v>2</v>
      </c>
      <c r="AV4" s="76">
        <f t="shared" si="3"/>
        <v>2</v>
      </c>
      <c r="AW4" s="76">
        <f t="shared" si="3"/>
        <v>2</v>
      </c>
      <c r="AX4" s="76">
        <f t="shared" si="3"/>
        <v>2</v>
      </c>
      <c r="AY4" s="76">
        <f t="shared" si="3"/>
        <v>2</v>
      </c>
      <c r="AZ4" s="95">
        <f t="shared" si="3"/>
        <v>2</v>
      </c>
      <c r="BA4" s="76">
        <f t="shared" si="3"/>
        <v>3</v>
      </c>
      <c r="BB4" s="76">
        <f t="shared" si="3"/>
        <v>3</v>
      </c>
      <c r="BC4" s="76">
        <f t="shared" si="3"/>
        <v>3</v>
      </c>
      <c r="BD4" s="76">
        <f t="shared" si="3"/>
        <v>3</v>
      </c>
      <c r="BE4" s="76">
        <f t="shared" si="3"/>
        <v>3</v>
      </c>
      <c r="BF4" s="76">
        <f t="shared" si="3"/>
        <v>3</v>
      </c>
      <c r="BG4" s="76">
        <f t="shared" si="3"/>
        <v>3</v>
      </c>
      <c r="BH4" s="76">
        <f t="shared" si="3"/>
        <v>3</v>
      </c>
      <c r="BI4" s="76">
        <f t="shared" si="3"/>
        <v>3</v>
      </c>
      <c r="BJ4" s="76">
        <f t="shared" si="3"/>
        <v>3</v>
      </c>
      <c r="BK4" s="76">
        <f t="shared" si="3"/>
        <v>3</v>
      </c>
      <c r="BL4" s="95">
        <f t="shared" si="3"/>
        <v>3</v>
      </c>
      <c r="BM4" s="76">
        <f t="shared" si="3"/>
        <v>4</v>
      </c>
      <c r="BN4" s="76">
        <f t="shared" si="3"/>
        <v>4</v>
      </c>
      <c r="BO4" s="76">
        <f t="shared" si="3"/>
        <v>4</v>
      </c>
      <c r="BP4" s="76">
        <f t="shared" si="3"/>
        <v>4</v>
      </c>
      <c r="BQ4" s="76">
        <f t="shared" si="3"/>
        <v>4</v>
      </c>
      <c r="BR4" s="76">
        <f t="shared" si="3"/>
        <v>4</v>
      </c>
      <c r="BS4" s="76">
        <f t="shared" si="3"/>
        <v>4</v>
      </c>
      <c r="BT4" s="76">
        <f t="shared" si="3"/>
        <v>4</v>
      </c>
      <c r="BU4" s="76">
        <f t="shared" si="3"/>
        <v>4</v>
      </c>
      <c r="BV4" s="76">
        <f t="shared" si="3"/>
        <v>4</v>
      </c>
      <c r="BW4" s="76">
        <f t="shared" si="3"/>
        <v>4</v>
      </c>
      <c r="BX4" s="95">
        <f t="shared" si="3"/>
        <v>4</v>
      </c>
      <c r="BY4" s="76">
        <f t="shared" si="3"/>
        <v>5</v>
      </c>
      <c r="BZ4" s="76">
        <f t="shared" si="3"/>
        <v>5</v>
      </c>
      <c r="CA4" s="76">
        <f t="shared" si="3"/>
        <v>5</v>
      </c>
      <c r="CB4" s="76">
        <f t="shared" si="3"/>
        <v>5</v>
      </c>
      <c r="CC4" s="76">
        <f t="shared" si="3"/>
        <v>5</v>
      </c>
      <c r="CD4" s="76">
        <f t="shared" si="3"/>
        <v>5</v>
      </c>
      <c r="CE4" s="76">
        <f t="shared" si="3"/>
        <v>5</v>
      </c>
      <c r="CF4" s="76">
        <f t="shared" si="3"/>
        <v>5</v>
      </c>
      <c r="CG4" s="76">
        <f t="shared" si="3"/>
        <v>5</v>
      </c>
      <c r="CH4" s="76">
        <f t="shared" si="3"/>
        <v>5</v>
      </c>
      <c r="CI4" s="76">
        <f t="shared" si="3"/>
        <v>5</v>
      </c>
      <c r="CJ4" s="95">
        <f t="shared" si="3"/>
        <v>5</v>
      </c>
      <c r="CK4" s="76">
        <f t="shared" si="3"/>
        <v>6</v>
      </c>
      <c r="CL4" s="76">
        <f t="shared" si="3"/>
        <v>6</v>
      </c>
      <c r="CM4" s="76">
        <f t="shared" si="3"/>
        <v>6</v>
      </c>
      <c r="CN4" s="76">
        <f t="shared" si="3"/>
        <v>6</v>
      </c>
      <c r="CO4" s="76">
        <f t="shared" si="3"/>
        <v>6</v>
      </c>
      <c r="CP4" s="76">
        <f t="shared" ref="CP4:FA4" si="4">ROUNDUP(CP3/12,0)</f>
        <v>6</v>
      </c>
      <c r="CQ4" s="76">
        <f t="shared" si="4"/>
        <v>6</v>
      </c>
      <c r="CR4" s="76">
        <f t="shared" si="4"/>
        <v>6</v>
      </c>
      <c r="CS4" s="76">
        <f t="shared" si="4"/>
        <v>6</v>
      </c>
      <c r="CT4" s="76">
        <f t="shared" si="4"/>
        <v>6</v>
      </c>
      <c r="CU4" s="76">
        <f t="shared" si="4"/>
        <v>6</v>
      </c>
      <c r="CV4" s="95">
        <f t="shared" si="4"/>
        <v>6</v>
      </c>
      <c r="CW4" s="76">
        <f t="shared" si="4"/>
        <v>7</v>
      </c>
      <c r="CX4" s="76">
        <f t="shared" si="4"/>
        <v>7</v>
      </c>
      <c r="CY4" s="76">
        <f t="shared" si="4"/>
        <v>7</v>
      </c>
      <c r="CZ4" s="76">
        <f t="shared" si="4"/>
        <v>7</v>
      </c>
      <c r="DA4" s="76">
        <f t="shared" si="4"/>
        <v>7</v>
      </c>
      <c r="DB4" s="76">
        <f t="shared" si="4"/>
        <v>7</v>
      </c>
      <c r="DC4" s="76">
        <f t="shared" si="4"/>
        <v>7</v>
      </c>
      <c r="DD4" s="76">
        <f t="shared" si="4"/>
        <v>7</v>
      </c>
      <c r="DE4" s="76">
        <f t="shared" si="4"/>
        <v>7</v>
      </c>
      <c r="DF4" s="76">
        <f t="shared" si="4"/>
        <v>7</v>
      </c>
      <c r="DG4" s="76">
        <f t="shared" si="4"/>
        <v>7</v>
      </c>
      <c r="DH4" s="95">
        <f t="shared" si="4"/>
        <v>7</v>
      </c>
      <c r="DI4" s="76">
        <f t="shared" si="4"/>
        <v>8</v>
      </c>
      <c r="DJ4" s="76">
        <f t="shared" si="4"/>
        <v>8</v>
      </c>
      <c r="DK4" s="76">
        <f t="shared" si="4"/>
        <v>8</v>
      </c>
      <c r="DL4" s="76">
        <f t="shared" si="4"/>
        <v>8</v>
      </c>
      <c r="DM4" s="76">
        <f t="shared" si="4"/>
        <v>8</v>
      </c>
      <c r="DN4" s="76">
        <f t="shared" si="4"/>
        <v>8</v>
      </c>
      <c r="DO4" s="76">
        <f t="shared" si="4"/>
        <v>8</v>
      </c>
      <c r="DP4" s="76">
        <f t="shared" si="4"/>
        <v>8</v>
      </c>
      <c r="DQ4" s="76">
        <f t="shared" si="4"/>
        <v>8</v>
      </c>
      <c r="DR4" s="76">
        <f t="shared" si="4"/>
        <v>8</v>
      </c>
      <c r="DS4" s="76">
        <f t="shared" si="4"/>
        <v>8</v>
      </c>
      <c r="DT4" s="95">
        <f t="shared" si="4"/>
        <v>8</v>
      </c>
      <c r="DU4" s="76">
        <f t="shared" si="4"/>
        <v>9</v>
      </c>
      <c r="DV4" s="76">
        <f t="shared" si="4"/>
        <v>9</v>
      </c>
      <c r="DW4" s="76">
        <f t="shared" si="4"/>
        <v>9</v>
      </c>
      <c r="DX4" s="76">
        <f t="shared" si="4"/>
        <v>9</v>
      </c>
      <c r="DY4" s="76">
        <f t="shared" si="4"/>
        <v>9</v>
      </c>
      <c r="DZ4" s="76">
        <f t="shared" si="4"/>
        <v>9</v>
      </c>
      <c r="EA4" s="76">
        <f t="shared" si="4"/>
        <v>9</v>
      </c>
      <c r="EB4" s="76">
        <f t="shared" si="4"/>
        <v>9</v>
      </c>
      <c r="EC4" s="76">
        <f t="shared" si="4"/>
        <v>9</v>
      </c>
      <c r="ED4" s="76">
        <f t="shared" si="4"/>
        <v>9</v>
      </c>
      <c r="EE4" s="76">
        <f t="shared" si="4"/>
        <v>9</v>
      </c>
      <c r="EF4" s="95">
        <f t="shared" si="4"/>
        <v>9</v>
      </c>
      <c r="EG4" s="76">
        <f t="shared" si="4"/>
        <v>10</v>
      </c>
      <c r="EH4" s="76">
        <f t="shared" si="4"/>
        <v>10</v>
      </c>
      <c r="EI4" s="76">
        <f t="shared" si="4"/>
        <v>10</v>
      </c>
      <c r="EJ4" s="76">
        <f t="shared" si="4"/>
        <v>10</v>
      </c>
      <c r="EK4" s="76">
        <f t="shared" si="4"/>
        <v>10</v>
      </c>
      <c r="EL4" s="76">
        <f t="shared" si="4"/>
        <v>10</v>
      </c>
      <c r="EM4" s="76">
        <f t="shared" si="4"/>
        <v>10</v>
      </c>
      <c r="EN4" s="76">
        <f t="shared" si="4"/>
        <v>10</v>
      </c>
      <c r="EO4" s="76">
        <f t="shared" si="4"/>
        <v>10</v>
      </c>
      <c r="EP4" s="76">
        <f t="shared" si="4"/>
        <v>10</v>
      </c>
      <c r="EQ4" s="76">
        <f t="shared" si="4"/>
        <v>10</v>
      </c>
      <c r="ER4" s="95">
        <f t="shared" si="4"/>
        <v>10</v>
      </c>
      <c r="ES4" s="76">
        <f t="shared" si="4"/>
        <v>11</v>
      </c>
      <c r="ET4" s="76">
        <f t="shared" si="4"/>
        <v>11</v>
      </c>
      <c r="EU4" s="76">
        <f t="shared" si="4"/>
        <v>11</v>
      </c>
      <c r="EV4" s="76">
        <f t="shared" si="4"/>
        <v>11</v>
      </c>
      <c r="EW4" s="76">
        <f t="shared" si="4"/>
        <v>11</v>
      </c>
      <c r="EX4" s="76">
        <f t="shared" si="4"/>
        <v>11</v>
      </c>
      <c r="EY4" s="76">
        <f t="shared" si="4"/>
        <v>11</v>
      </c>
      <c r="EZ4" s="76">
        <f t="shared" si="4"/>
        <v>11</v>
      </c>
      <c r="FA4" s="76">
        <f t="shared" si="4"/>
        <v>11</v>
      </c>
      <c r="FB4" s="76">
        <f t="shared" ref="FB4:FD4" si="5">ROUNDUP(FB3/12,0)</f>
        <v>11</v>
      </c>
      <c r="FC4" s="76">
        <f t="shared" si="5"/>
        <v>11</v>
      </c>
      <c r="FD4" s="76">
        <f t="shared" si="5"/>
        <v>11</v>
      </c>
    </row>
    <row r="5" spans="1:160" x14ac:dyDescent="0.3">
      <c r="A5" s="134" t="s">
        <v>130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160" x14ac:dyDescent="0.3">
      <c r="A6" s="6"/>
      <c r="B6" s="96" t="s">
        <v>133</v>
      </c>
    </row>
    <row r="7" spans="1:160" x14ac:dyDescent="0.3">
      <c r="E7" s="76" t="s">
        <v>134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"/>
      <c r="V7" s="3"/>
      <c r="AC7" s="97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98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98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98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98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98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98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98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98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98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98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</row>
    <row r="8" spans="1:160" x14ac:dyDescent="0.3">
      <c r="B8" t="s">
        <v>135</v>
      </c>
      <c r="E8" t="s">
        <v>231</v>
      </c>
      <c r="AC8" s="97">
        <f t="shared" ref="AC8:AD14" si="6">$AC24/12</f>
        <v>59396.416666666664</v>
      </c>
      <c r="AD8" s="106">
        <f t="shared" si="6"/>
        <v>59396.416666666664</v>
      </c>
      <c r="AE8" s="106">
        <f t="shared" ref="AE8:AN8" si="7">$AC24/12</f>
        <v>59396.416666666664</v>
      </c>
      <c r="AF8" s="106">
        <f t="shared" si="7"/>
        <v>59396.416666666664</v>
      </c>
      <c r="AG8" s="106">
        <f t="shared" si="7"/>
        <v>59396.416666666664</v>
      </c>
      <c r="AH8" s="106">
        <f t="shared" si="7"/>
        <v>59396.416666666664</v>
      </c>
      <c r="AI8" s="106">
        <f t="shared" si="7"/>
        <v>59396.416666666664</v>
      </c>
      <c r="AJ8" s="106">
        <f t="shared" si="7"/>
        <v>59396.416666666664</v>
      </c>
      <c r="AK8" s="106">
        <f t="shared" si="7"/>
        <v>59396.416666666664</v>
      </c>
      <c r="AL8" s="106">
        <f t="shared" si="7"/>
        <v>59396.416666666664</v>
      </c>
      <c r="AM8" s="106">
        <f t="shared" si="7"/>
        <v>59396.416666666664</v>
      </c>
      <c r="AN8" s="98">
        <f t="shared" si="7"/>
        <v>59396.416666666664</v>
      </c>
      <c r="AO8" s="106">
        <f t="shared" ref="AO8:AO14" si="8">$AD24/12</f>
        <v>59396.416666666664</v>
      </c>
      <c r="AP8" s="106">
        <f t="shared" ref="AP8:AZ8" si="9">$AD24/12</f>
        <v>59396.416666666664</v>
      </c>
      <c r="AQ8" s="106">
        <f t="shared" si="9"/>
        <v>59396.416666666664</v>
      </c>
      <c r="AR8" s="106">
        <f t="shared" si="9"/>
        <v>59396.416666666664</v>
      </c>
      <c r="AS8" s="106">
        <f t="shared" si="9"/>
        <v>59396.416666666664</v>
      </c>
      <c r="AT8" s="106">
        <f t="shared" si="9"/>
        <v>59396.416666666664</v>
      </c>
      <c r="AU8" s="106">
        <f t="shared" si="9"/>
        <v>59396.416666666664</v>
      </c>
      <c r="AV8" s="106">
        <f t="shared" si="9"/>
        <v>59396.416666666664</v>
      </c>
      <c r="AW8" s="106">
        <f t="shared" si="9"/>
        <v>59396.416666666664</v>
      </c>
      <c r="AX8" s="106">
        <f t="shared" si="9"/>
        <v>59396.416666666664</v>
      </c>
      <c r="AY8" s="106">
        <f t="shared" si="9"/>
        <v>59396.416666666664</v>
      </c>
      <c r="AZ8" s="106">
        <f t="shared" si="9"/>
        <v>59396.416666666664</v>
      </c>
      <c r="BA8" s="106">
        <f t="shared" ref="BA8:BA14" si="10">$AE24/12</f>
        <v>59396.416666666664</v>
      </c>
      <c r="BB8" s="106">
        <f t="shared" ref="BB8:BL8" si="11">$AE24/12</f>
        <v>59396.416666666664</v>
      </c>
      <c r="BC8" s="106">
        <f t="shared" si="11"/>
        <v>59396.416666666664</v>
      </c>
      <c r="BD8" s="106">
        <f t="shared" si="11"/>
        <v>59396.416666666664</v>
      </c>
      <c r="BE8" s="106">
        <f t="shared" si="11"/>
        <v>59396.416666666664</v>
      </c>
      <c r="BF8" s="106">
        <f t="shared" si="11"/>
        <v>59396.416666666664</v>
      </c>
      <c r="BG8" s="106">
        <f t="shared" si="11"/>
        <v>59396.416666666664</v>
      </c>
      <c r="BH8" s="106">
        <f t="shared" si="11"/>
        <v>59396.416666666664</v>
      </c>
      <c r="BI8" s="106">
        <f t="shared" si="11"/>
        <v>59396.416666666664</v>
      </c>
      <c r="BJ8" s="106">
        <f t="shared" si="11"/>
        <v>59396.416666666664</v>
      </c>
      <c r="BK8" s="106">
        <f t="shared" si="11"/>
        <v>59396.416666666664</v>
      </c>
      <c r="BL8" s="106">
        <f t="shared" si="11"/>
        <v>59396.416666666664</v>
      </c>
      <c r="BM8" s="106">
        <f t="shared" ref="BM8:BM14" si="12">$AF24/12</f>
        <v>59396.416666666664</v>
      </c>
      <c r="BN8" s="106">
        <f t="shared" ref="BN8:BX8" si="13">$AF24/12</f>
        <v>59396.416666666664</v>
      </c>
      <c r="BO8" s="106">
        <f t="shared" si="13"/>
        <v>59396.416666666664</v>
      </c>
      <c r="BP8" s="106">
        <f t="shared" si="13"/>
        <v>59396.416666666664</v>
      </c>
      <c r="BQ8" s="106">
        <f t="shared" si="13"/>
        <v>59396.416666666664</v>
      </c>
      <c r="BR8" s="106">
        <f t="shared" si="13"/>
        <v>59396.416666666664</v>
      </c>
      <c r="BS8" s="106">
        <f t="shared" si="13"/>
        <v>59396.416666666664</v>
      </c>
      <c r="BT8" s="106">
        <f t="shared" si="13"/>
        <v>59396.416666666664</v>
      </c>
      <c r="BU8" s="106">
        <f t="shared" si="13"/>
        <v>59396.416666666664</v>
      </c>
      <c r="BV8" s="106">
        <f t="shared" si="13"/>
        <v>59396.416666666664</v>
      </c>
      <c r="BW8" s="106">
        <f t="shared" si="13"/>
        <v>59396.416666666664</v>
      </c>
      <c r="BX8" s="106">
        <f t="shared" si="13"/>
        <v>59396.416666666664</v>
      </c>
      <c r="BY8" s="106">
        <f t="shared" ref="BY8:BY14" si="14">$AG24/12</f>
        <v>59396.416666666664</v>
      </c>
      <c r="BZ8" s="106">
        <f t="shared" ref="BZ8:CJ8" si="15">$AG24/12</f>
        <v>59396.416666666664</v>
      </c>
      <c r="CA8" s="106">
        <f t="shared" si="15"/>
        <v>59396.416666666664</v>
      </c>
      <c r="CB8" s="106">
        <f t="shared" si="15"/>
        <v>59396.416666666664</v>
      </c>
      <c r="CC8" s="106">
        <f t="shared" si="15"/>
        <v>59396.416666666664</v>
      </c>
      <c r="CD8" s="106">
        <f t="shared" si="15"/>
        <v>59396.416666666664</v>
      </c>
      <c r="CE8" s="106">
        <f t="shared" si="15"/>
        <v>59396.416666666664</v>
      </c>
      <c r="CF8" s="106">
        <f t="shared" si="15"/>
        <v>59396.416666666664</v>
      </c>
      <c r="CG8" s="106">
        <f t="shared" si="15"/>
        <v>59396.416666666664</v>
      </c>
      <c r="CH8" s="106">
        <f t="shared" si="15"/>
        <v>59396.416666666664</v>
      </c>
      <c r="CI8" s="106">
        <f t="shared" si="15"/>
        <v>59396.416666666664</v>
      </c>
      <c r="CJ8" s="106">
        <f t="shared" si="15"/>
        <v>59396.416666666664</v>
      </c>
      <c r="CK8" s="106">
        <f t="shared" ref="CK8:CK14" si="16">$AH24/12</f>
        <v>60396.74</v>
      </c>
      <c r="CL8" s="106">
        <f t="shared" ref="CL8:CV8" si="17">$AH24/12</f>
        <v>60396.74</v>
      </c>
      <c r="CM8" s="106">
        <f t="shared" si="17"/>
        <v>60396.74</v>
      </c>
      <c r="CN8" s="106">
        <f t="shared" si="17"/>
        <v>60396.74</v>
      </c>
      <c r="CO8" s="106">
        <f t="shared" si="17"/>
        <v>60396.74</v>
      </c>
      <c r="CP8" s="106">
        <f t="shared" si="17"/>
        <v>60396.74</v>
      </c>
      <c r="CQ8" s="106">
        <f t="shared" si="17"/>
        <v>60396.74</v>
      </c>
      <c r="CR8" s="106">
        <f t="shared" si="17"/>
        <v>60396.74</v>
      </c>
      <c r="CS8" s="106">
        <f t="shared" si="17"/>
        <v>60396.74</v>
      </c>
      <c r="CT8" s="106">
        <f t="shared" si="17"/>
        <v>60396.74</v>
      </c>
      <c r="CU8" s="106">
        <f t="shared" si="17"/>
        <v>60396.74</v>
      </c>
      <c r="CV8" s="106">
        <f t="shared" si="17"/>
        <v>60396.74</v>
      </c>
      <c r="CW8" s="106">
        <f t="shared" ref="CW8:CW14" si="18">$AI24/12</f>
        <v>60396.74</v>
      </c>
      <c r="CX8" s="106">
        <f t="shared" ref="CX8:DH8" si="19">$AI24/12</f>
        <v>60396.74</v>
      </c>
      <c r="CY8" s="106">
        <f t="shared" si="19"/>
        <v>60396.74</v>
      </c>
      <c r="CZ8" s="106">
        <f t="shared" si="19"/>
        <v>60396.74</v>
      </c>
      <c r="DA8" s="106">
        <f t="shared" si="19"/>
        <v>60396.74</v>
      </c>
      <c r="DB8" s="106">
        <f t="shared" si="19"/>
        <v>60396.74</v>
      </c>
      <c r="DC8" s="106">
        <f t="shared" si="19"/>
        <v>60396.74</v>
      </c>
      <c r="DD8" s="106">
        <f t="shared" si="19"/>
        <v>60396.74</v>
      </c>
      <c r="DE8" s="106">
        <f t="shared" si="19"/>
        <v>60396.74</v>
      </c>
      <c r="DF8" s="106">
        <f t="shared" si="19"/>
        <v>60396.74</v>
      </c>
      <c r="DG8" s="106">
        <f t="shared" si="19"/>
        <v>60396.74</v>
      </c>
      <c r="DH8" s="106">
        <f t="shared" si="19"/>
        <v>60396.74</v>
      </c>
      <c r="DI8" s="106">
        <f t="shared" ref="DI8:DI14" si="20">$AJ24/12</f>
        <v>60396.74</v>
      </c>
      <c r="DJ8" s="106">
        <f t="shared" ref="DJ8:DT8" si="21">$AJ24/12</f>
        <v>60396.74</v>
      </c>
      <c r="DK8" s="106">
        <f t="shared" si="21"/>
        <v>60396.74</v>
      </c>
      <c r="DL8" s="106">
        <f t="shared" si="21"/>
        <v>60396.74</v>
      </c>
      <c r="DM8" s="106">
        <f t="shared" si="21"/>
        <v>60396.74</v>
      </c>
      <c r="DN8" s="106">
        <f t="shared" si="21"/>
        <v>60396.74</v>
      </c>
      <c r="DO8" s="106">
        <f t="shared" si="21"/>
        <v>60396.74</v>
      </c>
      <c r="DP8" s="106">
        <f t="shared" si="21"/>
        <v>60396.74</v>
      </c>
      <c r="DQ8" s="106">
        <f t="shared" si="21"/>
        <v>60396.74</v>
      </c>
      <c r="DR8" s="106">
        <f t="shared" si="21"/>
        <v>60396.74</v>
      </c>
      <c r="DS8" s="106">
        <f t="shared" si="21"/>
        <v>60396.74</v>
      </c>
      <c r="DT8" s="106">
        <f t="shared" si="21"/>
        <v>60396.74</v>
      </c>
      <c r="DU8" s="106">
        <f t="shared" ref="DU8:DU14" si="22">$AK24/12</f>
        <v>60396.74</v>
      </c>
      <c r="DV8" s="106">
        <f t="shared" ref="DV8:EF8" si="23">$AK24/12</f>
        <v>60396.74</v>
      </c>
      <c r="DW8" s="106">
        <f t="shared" si="23"/>
        <v>60396.74</v>
      </c>
      <c r="DX8" s="106">
        <f t="shared" si="23"/>
        <v>60396.74</v>
      </c>
      <c r="DY8" s="106">
        <f t="shared" si="23"/>
        <v>60396.74</v>
      </c>
      <c r="DZ8" s="106">
        <f t="shared" si="23"/>
        <v>60396.74</v>
      </c>
      <c r="EA8" s="106">
        <f t="shared" si="23"/>
        <v>60396.74</v>
      </c>
      <c r="EB8" s="106">
        <f t="shared" si="23"/>
        <v>60396.74</v>
      </c>
      <c r="EC8" s="106">
        <f t="shared" si="23"/>
        <v>60396.74</v>
      </c>
      <c r="ED8" s="106">
        <f t="shared" si="23"/>
        <v>60396.74</v>
      </c>
      <c r="EE8" s="106">
        <f t="shared" si="23"/>
        <v>60396.74</v>
      </c>
      <c r="EF8" s="106">
        <f t="shared" si="23"/>
        <v>60396.74</v>
      </c>
      <c r="EG8" s="106">
        <f t="shared" ref="EG8:ER8" si="24">$AK24/12</f>
        <v>60396.74</v>
      </c>
      <c r="EH8" s="106">
        <f t="shared" si="24"/>
        <v>60396.74</v>
      </c>
      <c r="EI8" s="106">
        <f t="shared" si="24"/>
        <v>60396.74</v>
      </c>
      <c r="EJ8" s="106">
        <f t="shared" si="24"/>
        <v>60396.74</v>
      </c>
      <c r="EK8" s="106">
        <f t="shared" si="24"/>
        <v>60396.74</v>
      </c>
      <c r="EL8" s="106">
        <f t="shared" si="24"/>
        <v>60396.74</v>
      </c>
      <c r="EM8" s="106">
        <f t="shared" si="24"/>
        <v>60396.74</v>
      </c>
      <c r="EN8" s="106">
        <f t="shared" si="24"/>
        <v>60396.74</v>
      </c>
      <c r="EO8" s="106">
        <f t="shared" si="24"/>
        <v>60396.74</v>
      </c>
      <c r="EP8" s="106">
        <f t="shared" si="24"/>
        <v>60396.74</v>
      </c>
      <c r="EQ8" s="106">
        <f t="shared" si="24"/>
        <v>60396.74</v>
      </c>
      <c r="ER8" s="106">
        <f t="shared" si="24"/>
        <v>60396.74</v>
      </c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</row>
    <row r="9" spans="1:160" x14ac:dyDescent="0.3">
      <c r="E9" s="76" t="s">
        <v>137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58"/>
      <c r="U9" s="166"/>
      <c r="V9" s="166"/>
      <c r="AC9" s="97">
        <f t="shared" si="6"/>
        <v>0</v>
      </c>
      <c r="AD9" s="106">
        <f t="shared" si="6"/>
        <v>0</v>
      </c>
      <c r="AE9" s="106">
        <f t="shared" ref="AE9:AN9" si="25">$AC25/12</f>
        <v>0</v>
      </c>
      <c r="AF9" s="106">
        <f t="shared" si="25"/>
        <v>0</v>
      </c>
      <c r="AG9" s="106">
        <f t="shared" si="25"/>
        <v>0</v>
      </c>
      <c r="AH9" s="106">
        <f t="shared" si="25"/>
        <v>0</v>
      </c>
      <c r="AI9" s="106">
        <f t="shared" si="25"/>
        <v>0</v>
      </c>
      <c r="AJ9" s="106">
        <f t="shared" si="25"/>
        <v>0</v>
      </c>
      <c r="AK9" s="106">
        <f t="shared" si="25"/>
        <v>0</v>
      </c>
      <c r="AL9" s="106">
        <f t="shared" si="25"/>
        <v>0</v>
      </c>
      <c r="AM9" s="106">
        <f t="shared" si="25"/>
        <v>0</v>
      </c>
      <c r="AN9" s="98">
        <f t="shared" si="25"/>
        <v>0</v>
      </c>
      <c r="AO9" s="106">
        <f t="shared" si="8"/>
        <v>0</v>
      </c>
      <c r="AP9" s="106">
        <f t="shared" ref="AP9:AZ9" si="26">$AD25/12</f>
        <v>0</v>
      </c>
      <c r="AQ9" s="106">
        <f t="shared" si="26"/>
        <v>0</v>
      </c>
      <c r="AR9" s="106">
        <f t="shared" si="26"/>
        <v>0</v>
      </c>
      <c r="AS9" s="106">
        <f t="shared" si="26"/>
        <v>0</v>
      </c>
      <c r="AT9" s="106">
        <f t="shared" si="26"/>
        <v>0</v>
      </c>
      <c r="AU9" s="106">
        <f t="shared" si="26"/>
        <v>0</v>
      </c>
      <c r="AV9" s="106">
        <f t="shared" si="26"/>
        <v>0</v>
      </c>
      <c r="AW9" s="106">
        <f t="shared" si="26"/>
        <v>0</v>
      </c>
      <c r="AX9" s="106">
        <f t="shared" si="26"/>
        <v>0</v>
      </c>
      <c r="AY9" s="106">
        <f t="shared" si="26"/>
        <v>0</v>
      </c>
      <c r="AZ9" s="106">
        <f t="shared" si="26"/>
        <v>0</v>
      </c>
      <c r="BA9" s="106">
        <f t="shared" si="10"/>
        <v>0</v>
      </c>
      <c r="BB9" s="106">
        <f t="shared" ref="BB9:BL9" si="27">$AE25/12</f>
        <v>0</v>
      </c>
      <c r="BC9" s="106">
        <f t="shared" si="27"/>
        <v>0</v>
      </c>
      <c r="BD9" s="106">
        <f t="shared" si="27"/>
        <v>0</v>
      </c>
      <c r="BE9" s="106">
        <f t="shared" si="27"/>
        <v>0</v>
      </c>
      <c r="BF9" s="106">
        <f t="shared" si="27"/>
        <v>0</v>
      </c>
      <c r="BG9" s="106">
        <f t="shared" si="27"/>
        <v>0</v>
      </c>
      <c r="BH9" s="106">
        <f t="shared" si="27"/>
        <v>0</v>
      </c>
      <c r="BI9" s="106">
        <f t="shared" si="27"/>
        <v>0</v>
      </c>
      <c r="BJ9" s="106">
        <f t="shared" si="27"/>
        <v>0</v>
      </c>
      <c r="BK9" s="106">
        <f t="shared" si="27"/>
        <v>0</v>
      </c>
      <c r="BL9" s="106">
        <f t="shared" si="27"/>
        <v>0</v>
      </c>
      <c r="BM9" s="106">
        <f t="shared" si="12"/>
        <v>0</v>
      </c>
      <c r="BN9" s="106">
        <f t="shared" ref="BN9:BX9" si="28">$AF25/12</f>
        <v>0</v>
      </c>
      <c r="BO9" s="106">
        <f t="shared" si="28"/>
        <v>0</v>
      </c>
      <c r="BP9" s="106">
        <f t="shared" si="28"/>
        <v>0</v>
      </c>
      <c r="BQ9" s="106">
        <f t="shared" si="28"/>
        <v>0</v>
      </c>
      <c r="BR9" s="106">
        <f t="shared" si="28"/>
        <v>0</v>
      </c>
      <c r="BS9" s="106">
        <f t="shared" si="28"/>
        <v>0</v>
      </c>
      <c r="BT9" s="106">
        <f t="shared" si="28"/>
        <v>0</v>
      </c>
      <c r="BU9" s="106">
        <f t="shared" si="28"/>
        <v>0</v>
      </c>
      <c r="BV9" s="106">
        <f t="shared" si="28"/>
        <v>0</v>
      </c>
      <c r="BW9" s="106">
        <f t="shared" si="28"/>
        <v>0</v>
      </c>
      <c r="BX9" s="106">
        <f t="shared" si="28"/>
        <v>0</v>
      </c>
      <c r="BY9" s="106">
        <f t="shared" si="14"/>
        <v>0</v>
      </c>
      <c r="BZ9" s="106">
        <f t="shared" ref="BZ9:CJ9" si="29">$AG25/12</f>
        <v>0</v>
      </c>
      <c r="CA9" s="106">
        <f t="shared" si="29"/>
        <v>0</v>
      </c>
      <c r="CB9" s="106">
        <f t="shared" si="29"/>
        <v>0</v>
      </c>
      <c r="CC9" s="106">
        <f t="shared" si="29"/>
        <v>0</v>
      </c>
      <c r="CD9" s="106">
        <f t="shared" si="29"/>
        <v>0</v>
      </c>
      <c r="CE9" s="106">
        <f t="shared" si="29"/>
        <v>0</v>
      </c>
      <c r="CF9" s="106">
        <f t="shared" si="29"/>
        <v>0</v>
      </c>
      <c r="CG9" s="106">
        <f t="shared" si="29"/>
        <v>0</v>
      </c>
      <c r="CH9" s="106">
        <f t="shared" si="29"/>
        <v>0</v>
      </c>
      <c r="CI9" s="106">
        <f t="shared" si="29"/>
        <v>0</v>
      </c>
      <c r="CJ9" s="106">
        <f t="shared" si="29"/>
        <v>0</v>
      </c>
      <c r="CK9" s="106">
        <f t="shared" si="16"/>
        <v>0</v>
      </c>
      <c r="CL9" s="106">
        <f t="shared" ref="CL9:CV9" si="30">$AH25/12</f>
        <v>0</v>
      </c>
      <c r="CM9" s="106">
        <f t="shared" si="30"/>
        <v>0</v>
      </c>
      <c r="CN9" s="106">
        <f t="shared" si="30"/>
        <v>0</v>
      </c>
      <c r="CO9" s="106">
        <f t="shared" si="30"/>
        <v>0</v>
      </c>
      <c r="CP9" s="106">
        <f t="shared" si="30"/>
        <v>0</v>
      </c>
      <c r="CQ9" s="106">
        <f t="shared" si="30"/>
        <v>0</v>
      </c>
      <c r="CR9" s="106">
        <f t="shared" si="30"/>
        <v>0</v>
      </c>
      <c r="CS9" s="106">
        <f t="shared" si="30"/>
        <v>0</v>
      </c>
      <c r="CT9" s="106">
        <f t="shared" si="30"/>
        <v>0</v>
      </c>
      <c r="CU9" s="106">
        <f t="shared" si="30"/>
        <v>0</v>
      </c>
      <c r="CV9" s="106">
        <f t="shared" si="30"/>
        <v>0</v>
      </c>
      <c r="CW9" s="106">
        <f t="shared" si="18"/>
        <v>0</v>
      </c>
      <c r="CX9" s="106">
        <f t="shared" ref="CX9:DH9" si="31">$AI25/12</f>
        <v>0</v>
      </c>
      <c r="CY9" s="106">
        <f t="shared" si="31"/>
        <v>0</v>
      </c>
      <c r="CZ9" s="106">
        <f t="shared" si="31"/>
        <v>0</v>
      </c>
      <c r="DA9" s="106">
        <f t="shared" si="31"/>
        <v>0</v>
      </c>
      <c r="DB9" s="106">
        <f t="shared" si="31"/>
        <v>0</v>
      </c>
      <c r="DC9" s="106">
        <f t="shared" si="31"/>
        <v>0</v>
      </c>
      <c r="DD9" s="106">
        <f t="shared" si="31"/>
        <v>0</v>
      </c>
      <c r="DE9" s="106">
        <f t="shared" si="31"/>
        <v>0</v>
      </c>
      <c r="DF9" s="106">
        <f t="shared" si="31"/>
        <v>0</v>
      </c>
      <c r="DG9" s="106">
        <f t="shared" si="31"/>
        <v>0</v>
      </c>
      <c r="DH9" s="106">
        <f t="shared" si="31"/>
        <v>0</v>
      </c>
      <c r="DI9" s="106">
        <f t="shared" si="20"/>
        <v>0</v>
      </c>
      <c r="DJ9" s="106">
        <f t="shared" ref="DJ9:DT9" si="32">$AJ25/12</f>
        <v>0</v>
      </c>
      <c r="DK9" s="106">
        <f t="shared" si="32"/>
        <v>0</v>
      </c>
      <c r="DL9" s="106">
        <f t="shared" si="32"/>
        <v>0</v>
      </c>
      <c r="DM9" s="106">
        <f t="shared" si="32"/>
        <v>0</v>
      </c>
      <c r="DN9" s="106">
        <f t="shared" si="32"/>
        <v>0</v>
      </c>
      <c r="DO9" s="106">
        <f t="shared" si="32"/>
        <v>0</v>
      </c>
      <c r="DP9" s="106">
        <f t="shared" si="32"/>
        <v>0</v>
      </c>
      <c r="DQ9" s="106">
        <f t="shared" si="32"/>
        <v>0</v>
      </c>
      <c r="DR9" s="106">
        <f t="shared" si="32"/>
        <v>0</v>
      </c>
      <c r="DS9" s="106">
        <f t="shared" si="32"/>
        <v>0</v>
      </c>
      <c r="DT9" s="106">
        <f t="shared" si="32"/>
        <v>0</v>
      </c>
      <c r="DU9" s="106">
        <f t="shared" si="22"/>
        <v>0</v>
      </c>
      <c r="DV9" s="106">
        <f t="shared" ref="DV9:EF9" si="33">$AK25/12</f>
        <v>0</v>
      </c>
      <c r="DW9" s="106">
        <f t="shared" si="33"/>
        <v>0</v>
      </c>
      <c r="DX9" s="106">
        <f t="shared" si="33"/>
        <v>0</v>
      </c>
      <c r="DY9" s="106">
        <f t="shared" si="33"/>
        <v>0</v>
      </c>
      <c r="DZ9" s="106">
        <f t="shared" si="33"/>
        <v>0</v>
      </c>
      <c r="EA9" s="106">
        <f t="shared" si="33"/>
        <v>0</v>
      </c>
      <c r="EB9" s="106">
        <f t="shared" si="33"/>
        <v>0</v>
      </c>
      <c r="EC9" s="106">
        <f t="shared" si="33"/>
        <v>0</v>
      </c>
      <c r="ED9" s="106">
        <f t="shared" si="33"/>
        <v>0</v>
      </c>
      <c r="EE9" s="106">
        <f t="shared" si="33"/>
        <v>0</v>
      </c>
      <c r="EF9" s="106">
        <f t="shared" si="33"/>
        <v>0</v>
      </c>
      <c r="EG9" s="106">
        <f t="shared" ref="EG9:ER9" si="34">$AK25/12</f>
        <v>0</v>
      </c>
      <c r="EH9" s="106">
        <f t="shared" si="34"/>
        <v>0</v>
      </c>
      <c r="EI9" s="106">
        <f t="shared" si="34"/>
        <v>0</v>
      </c>
      <c r="EJ9" s="106">
        <f t="shared" si="34"/>
        <v>0</v>
      </c>
      <c r="EK9" s="106">
        <f t="shared" si="34"/>
        <v>0</v>
      </c>
      <c r="EL9" s="106">
        <f t="shared" si="34"/>
        <v>0</v>
      </c>
      <c r="EM9" s="106">
        <f t="shared" si="34"/>
        <v>0</v>
      </c>
      <c r="EN9" s="106">
        <f t="shared" si="34"/>
        <v>0</v>
      </c>
      <c r="EO9" s="106">
        <f t="shared" si="34"/>
        <v>0</v>
      </c>
      <c r="EP9" s="106">
        <f t="shared" si="34"/>
        <v>0</v>
      </c>
      <c r="EQ9" s="106">
        <f t="shared" si="34"/>
        <v>0</v>
      </c>
      <c r="ER9" s="106">
        <f t="shared" si="34"/>
        <v>0</v>
      </c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</row>
    <row r="10" spans="1:160" x14ac:dyDescent="0.3">
      <c r="B10" t="s">
        <v>135</v>
      </c>
      <c r="E10" t="s">
        <v>232</v>
      </c>
      <c r="AC10" s="97">
        <f>$AC26/12</f>
        <v>21521.666666666668</v>
      </c>
      <c r="AD10" s="106">
        <f t="shared" si="6"/>
        <v>21521.666666666668</v>
      </c>
      <c r="AE10" s="106">
        <f t="shared" ref="AE10:AN10" si="35">$AC26/12</f>
        <v>21521.666666666668</v>
      </c>
      <c r="AF10" s="106">
        <f t="shared" si="35"/>
        <v>21521.666666666668</v>
      </c>
      <c r="AG10" s="106">
        <f t="shared" si="35"/>
        <v>21521.666666666668</v>
      </c>
      <c r="AH10" s="106">
        <f t="shared" si="35"/>
        <v>21521.666666666668</v>
      </c>
      <c r="AI10" s="106">
        <f t="shared" si="35"/>
        <v>21521.666666666668</v>
      </c>
      <c r="AJ10" s="106">
        <f t="shared" si="35"/>
        <v>21521.666666666668</v>
      </c>
      <c r="AK10" s="106">
        <f t="shared" si="35"/>
        <v>21521.666666666668</v>
      </c>
      <c r="AL10" s="106">
        <f t="shared" si="35"/>
        <v>21521.666666666668</v>
      </c>
      <c r="AM10" s="106">
        <f t="shared" si="35"/>
        <v>21521.666666666668</v>
      </c>
      <c r="AN10" s="98">
        <f t="shared" si="35"/>
        <v>21521.666666666668</v>
      </c>
      <c r="AO10" s="106">
        <f t="shared" si="8"/>
        <v>21521.666666666668</v>
      </c>
      <c r="AP10" s="106">
        <f t="shared" ref="AP10:AZ10" si="36">$AD26/12</f>
        <v>21521.666666666668</v>
      </c>
      <c r="AQ10" s="106">
        <f t="shared" si="36"/>
        <v>21521.666666666668</v>
      </c>
      <c r="AR10" s="106">
        <f t="shared" si="36"/>
        <v>21521.666666666668</v>
      </c>
      <c r="AS10" s="106">
        <f t="shared" si="36"/>
        <v>21521.666666666668</v>
      </c>
      <c r="AT10" s="106">
        <f t="shared" si="36"/>
        <v>21521.666666666668</v>
      </c>
      <c r="AU10" s="106">
        <f t="shared" si="36"/>
        <v>21521.666666666668</v>
      </c>
      <c r="AV10" s="106">
        <f t="shared" si="36"/>
        <v>21521.666666666668</v>
      </c>
      <c r="AW10" s="106">
        <f t="shared" si="36"/>
        <v>21521.666666666668</v>
      </c>
      <c r="AX10" s="106">
        <f t="shared" si="36"/>
        <v>21521.666666666668</v>
      </c>
      <c r="AY10" s="106">
        <f t="shared" si="36"/>
        <v>21521.666666666668</v>
      </c>
      <c r="AZ10" s="106">
        <f t="shared" si="36"/>
        <v>21521.666666666668</v>
      </c>
      <c r="BA10" s="106">
        <f t="shared" si="10"/>
        <v>21521.666666666668</v>
      </c>
      <c r="BB10" s="106">
        <f t="shared" ref="BB10:BL10" si="37">$AE26/12</f>
        <v>21521.666666666668</v>
      </c>
      <c r="BC10" s="106">
        <f t="shared" si="37"/>
        <v>21521.666666666668</v>
      </c>
      <c r="BD10" s="106">
        <f t="shared" si="37"/>
        <v>21521.666666666668</v>
      </c>
      <c r="BE10" s="106">
        <f t="shared" si="37"/>
        <v>21521.666666666668</v>
      </c>
      <c r="BF10" s="106">
        <f t="shared" si="37"/>
        <v>21521.666666666668</v>
      </c>
      <c r="BG10" s="106">
        <f t="shared" si="37"/>
        <v>21521.666666666668</v>
      </c>
      <c r="BH10" s="106">
        <f t="shared" si="37"/>
        <v>21521.666666666668</v>
      </c>
      <c r="BI10" s="106">
        <f t="shared" si="37"/>
        <v>21521.666666666668</v>
      </c>
      <c r="BJ10" s="106">
        <f t="shared" si="37"/>
        <v>21521.666666666668</v>
      </c>
      <c r="BK10" s="106">
        <f t="shared" si="37"/>
        <v>21521.666666666668</v>
      </c>
      <c r="BL10" s="106">
        <f t="shared" si="37"/>
        <v>21521.666666666668</v>
      </c>
      <c r="BM10" s="106">
        <f t="shared" si="12"/>
        <v>21521.666666666668</v>
      </c>
      <c r="BN10" s="106">
        <f t="shared" ref="BN10:BX10" si="38">$AF26/12</f>
        <v>21521.666666666668</v>
      </c>
      <c r="BO10" s="106">
        <f t="shared" si="38"/>
        <v>21521.666666666668</v>
      </c>
      <c r="BP10" s="106">
        <f t="shared" si="38"/>
        <v>21521.666666666668</v>
      </c>
      <c r="BQ10" s="106">
        <f t="shared" si="38"/>
        <v>21521.666666666668</v>
      </c>
      <c r="BR10" s="106">
        <f t="shared" si="38"/>
        <v>21521.666666666668</v>
      </c>
      <c r="BS10" s="106">
        <f t="shared" si="38"/>
        <v>21521.666666666668</v>
      </c>
      <c r="BT10" s="106">
        <f t="shared" si="38"/>
        <v>21521.666666666668</v>
      </c>
      <c r="BU10" s="106">
        <f t="shared" si="38"/>
        <v>21521.666666666668</v>
      </c>
      <c r="BV10" s="106">
        <f t="shared" si="38"/>
        <v>21521.666666666668</v>
      </c>
      <c r="BW10" s="106">
        <f t="shared" si="38"/>
        <v>21521.666666666668</v>
      </c>
      <c r="BX10" s="106">
        <f t="shared" si="38"/>
        <v>21521.666666666668</v>
      </c>
      <c r="BY10" s="106">
        <f t="shared" si="14"/>
        <v>23531</v>
      </c>
      <c r="BZ10" s="106">
        <f t="shared" ref="BZ10:CJ10" si="39">$AG26/12</f>
        <v>23531</v>
      </c>
      <c r="CA10" s="106">
        <f t="shared" si="39"/>
        <v>23531</v>
      </c>
      <c r="CB10" s="106">
        <f t="shared" si="39"/>
        <v>23531</v>
      </c>
      <c r="CC10" s="106">
        <f t="shared" si="39"/>
        <v>23531</v>
      </c>
      <c r="CD10" s="106">
        <f t="shared" si="39"/>
        <v>23531</v>
      </c>
      <c r="CE10" s="106">
        <f t="shared" si="39"/>
        <v>23531</v>
      </c>
      <c r="CF10" s="106">
        <f t="shared" si="39"/>
        <v>23531</v>
      </c>
      <c r="CG10" s="106">
        <f t="shared" si="39"/>
        <v>23531</v>
      </c>
      <c r="CH10" s="106">
        <f t="shared" si="39"/>
        <v>23531</v>
      </c>
      <c r="CI10" s="106">
        <f t="shared" si="39"/>
        <v>23531</v>
      </c>
      <c r="CJ10" s="106">
        <f t="shared" si="39"/>
        <v>23531</v>
      </c>
      <c r="CK10" s="106">
        <f t="shared" si="16"/>
        <v>23531</v>
      </c>
      <c r="CL10" s="106">
        <f t="shared" ref="CL10:CV10" si="40">$AH26/12</f>
        <v>23531</v>
      </c>
      <c r="CM10" s="106">
        <f t="shared" si="40"/>
        <v>23531</v>
      </c>
      <c r="CN10" s="106">
        <f t="shared" si="40"/>
        <v>23531</v>
      </c>
      <c r="CO10" s="106">
        <f t="shared" si="40"/>
        <v>23531</v>
      </c>
      <c r="CP10" s="106">
        <f t="shared" si="40"/>
        <v>23531</v>
      </c>
      <c r="CQ10" s="106">
        <f t="shared" si="40"/>
        <v>23531</v>
      </c>
      <c r="CR10" s="106">
        <f t="shared" si="40"/>
        <v>23531</v>
      </c>
      <c r="CS10" s="106">
        <f t="shared" si="40"/>
        <v>23531</v>
      </c>
      <c r="CT10" s="106">
        <f t="shared" si="40"/>
        <v>23531</v>
      </c>
      <c r="CU10" s="106">
        <f t="shared" si="40"/>
        <v>23531</v>
      </c>
      <c r="CV10" s="106">
        <f t="shared" si="40"/>
        <v>23531</v>
      </c>
      <c r="CW10" s="106">
        <f t="shared" si="18"/>
        <v>23531</v>
      </c>
      <c r="CX10" s="106">
        <f t="shared" ref="CX10:DH10" si="41">$AI26/12</f>
        <v>23531</v>
      </c>
      <c r="CY10" s="106">
        <f t="shared" si="41"/>
        <v>23531</v>
      </c>
      <c r="CZ10" s="106">
        <f t="shared" si="41"/>
        <v>23531</v>
      </c>
      <c r="DA10" s="106">
        <f t="shared" si="41"/>
        <v>23531</v>
      </c>
      <c r="DB10" s="106">
        <f t="shared" si="41"/>
        <v>23531</v>
      </c>
      <c r="DC10" s="106">
        <f t="shared" si="41"/>
        <v>23531</v>
      </c>
      <c r="DD10" s="106">
        <f t="shared" si="41"/>
        <v>23531</v>
      </c>
      <c r="DE10" s="106">
        <f t="shared" si="41"/>
        <v>23531</v>
      </c>
      <c r="DF10" s="106">
        <f t="shared" si="41"/>
        <v>23531</v>
      </c>
      <c r="DG10" s="106">
        <f t="shared" si="41"/>
        <v>23531</v>
      </c>
      <c r="DH10" s="106">
        <f t="shared" si="41"/>
        <v>23531</v>
      </c>
      <c r="DI10" s="106">
        <f t="shared" si="20"/>
        <v>23531</v>
      </c>
      <c r="DJ10" s="106">
        <f t="shared" ref="DJ10:DT10" si="42">$AJ26/12</f>
        <v>23531</v>
      </c>
      <c r="DK10" s="106">
        <f t="shared" si="42"/>
        <v>23531</v>
      </c>
      <c r="DL10" s="106">
        <f t="shared" si="42"/>
        <v>23531</v>
      </c>
      <c r="DM10" s="106">
        <f t="shared" si="42"/>
        <v>23531</v>
      </c>
      <c r="DN10" s="106">
        <f t="shared" si="42"/>
        <v>23531</v>
      </c>
      <c r="DO10" s="106">
        <f t="shared" si="42"/>
        <v>23531</v>
      </c>
      <c r="DP10" s="106">
        <f t="shared" si="42"/>
        <v>23531</v>
      </c>
      <c r="DQ10" s="106">
        <f t="shared" si="42"/>
        <v>23531</v>
      </c>
      <c r="DR10" s="106">
        <f t="shared" si="42"/>
        <v>23531</v>
      </c>
      <c r="DS10" s="106">
        <f t="shared" si="42"/>
        <v>23531</v>
      </c>
      <c r="DT10" s="106">
        <f t="shared" si="42"/>
        <v>23531</v>
      </c>
      <c r="DU10" s="106">
        <f t="shared" si="22"/>
        <v>23531</v>
      </c>
      <c r="DV10" s="106">
        <f t="shared" ref="DV10:EF10" si="43">$AK26/12</f>
        <v>23531</v>
      </c>
      <c r="DW10" s="106">
        <f t="shared" si="43"/>
        <v>23531</v>
      </c>
      <c r="DX10" s="106">
        <f t="shared" si="43"/>
        <v>23531</v>
      </c>
      <c r="DY10" s="106">
        <f t="shared" si="43"/>
        <v>23531</v>
      </c>
      <c r="DZ10" s="106">
        <f t="shared" si="43"/>
        <v>23531</v>
      </c>
      <c r="EA10" s="106">
        <f t="shared" si="43"/>
        <v>23531</v>
      </c>
      <c r="EB10" s="106">
        <f t="shared" si="43"/>
        <v>23531</v>
      </c>
      <c r="EC10" s="106">
        <f t="shared" si="43"/>
        <v>23531</v>
      </c>
      <c r="ED10" s="106">
        <f t="shared" si="43"/>
        <v>23531</v>
      </c>
      <c r="EE10" s="106">
        <f t="shared" si="43"/>
        <v>23531</v>
      </c>
      <c r="EF10" s="106">
        <f t="shared" si="43"/>
        <v>23531</v>
      </c>
      <c r="EG10" s="106">
        <f t="shared" ref="EG10:ER10" si="44">$AK26/12</f>
        <v>23531</v>
      </c>
      <c r="EH10" s="106">
        <f t="shared" si="44"/>
        <v>23531</v>
      </c>
      <c r="EI10" s="106">
        <f t="shared" si="44"/>
        <v>23531</v>
      </c>
      <c r="EJ10" s="106">
        <f t="shared" si="44"/>
        <v>23531</v>
      </c>
      <c r="EK10" s="106">
        <f t="shared" si="44"/>
        <v>23531</v>
      </c>
      <c r="EL10" s="106">
        <f t="shared" si="44"/>
        <v>23531</v>
      </c>
      <c r="EM10" s="106">
        <f t="shared" si="44"/>
        <v>23531</v>
      </c>
      <c r="EN10" s="106">
        <f t="shared" si="44"/>
        <v>23531</v>
      </c>
      <c r="EO10" s="106">
        <f t="shared" si="44"/>
        <v>23531</v>
      </c>
      <c r="EP10" s="106">
        <f t="shared" si="44"/>
        <v>23531</v>
      </c>
      <c r="EQ10" s="106">
        <f t="shared" si="44"/>
        <v>23531</v>
      </c>
      <c r="ER10" s="106">
        <f t="shared" si="44"/>
        <v>23531</v>
      </c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</row>
    <row r="11" spans="1:160" x14ac:dyDescent="0.3">
      <c r="B11" t="s">
        <v>136</v>
      </c>
      <c r="E11" s="3" t="s">
        <v>234</v>
      </c>
      <c r="AC11" s="97">
        <f t="shared" si="6"/>
        <v>0</v>
      </c>
      <c r="AD11" s="106">
        <f t="shared" si="6"/>
        <v>0</v>
      </c>
      <c r="AE11" s="106">
        <f t="shared" ref="AE11:AN11" si="45">$AC27/12</f>
        <v>0</v>
      </c>
      <c r="AF11" s="106">
        <f t="shared" si="45"/>
        <v>0</v>
      </c>
      <c r="AG11" s="106">
        <f t="shared" si="45"/>
        <v>0</v>
      </c>
      <c r="AH11" s="106">
        <f t="shared" si="45"/>
        <v>0</v>
      </c>
      <c r="AI11" s="106">
        <f t="shared" si="45"/>
        <v>0</v>
      </c>
      <c r="AJ11" s="106">
        <f t="shared" si="45"/>
        <v>0</v>
      </c>
      <c r="AK11" s="106">
        <f t="shared" si="45"/>
        <v>0</v>
      </c>
      <c r="AL11" s="106">
        <f t="shared" si="45"/>
        <v>0</v>
      </c>
      <c r="AM11" s="106">
        <f t="shared" si="45"/>
        <v>0</v>
      </c>
      <c r="AN11" s="98">
        <f t="shared" si="45"/>
        <v>0</v>
      </c>
      <c r="AO11" s="106">
        <f t="shared" si="8"/>
        <v>0</v>
      </c>
      <c r="AP11" s="106">
        <f t="shared" ref="AP11:AZ11" si="46">$AD27/12</f>
        <v>0</v>
      </c>
      <c r="AQ11" s="106">
        <f t="shared" si="46"/>
        <v>0</v>
      </c>
      <c r="AR11" s="106">
        <f t="shared" si="46"/>
        <v>0</v>
      </c>
      <c r="AS11" s="106">
        <f t="shared" si="46"/>
        <v>0</v>
      </c>
      <c r="AT11" s="106">
        <f t="shared" si="46"/>
        <v>0</v>
      </c>
      <c r="AU11" s="106">
        <f t="shared" si="46"/>
        <v>0</v>
      </c>
      <c r="AV11" s="106">
        <f t="shared" si="46"/>
        <v>0</v>
      </c>
      <c r="AW11" s="106">
        <f t="shared" si="46"/>
        <v>0</v>
      </c>
      <c r="AX11" s="106">
        <f t="shared" si="46"/>
        <v>0</v>
      </c>
      <c r="AY11" s="106">
        <f t="shared" si="46"/>
        <v>0</v>
      </c>
      <c r="AZ11" s="106">
        <f t="shared" si="46"/>
        <v>0</v>
      </c>
      <c r="BA11" s="106">
        <f t="shared" si="10"/>
        <v>0</v>
      </c>
      <c r="BB11" s="106">
        <f t="shared" ref="BB11:BL11" si="47">$AE27/12</f>
        <v>0</v>
      </c>
      <c r="BC11" s="106">
        <f t="shared" si="47"/>
        <v>0</v>
      </c>
      <c r="BD11" s="106">
        <f t="shared" si="47"/>
        <v>0</v>
      </c>
      <c r="BE11" s="106">
        <f t="shared" si="47"/>
        <v>0</v>
      </c>
      <c r="BF11" s="106">
        <f t="shared" si="47"/>
        <v>0</v>
      </c>
      <c r="BG11" s="106">
        <f t="shared" si="47"/>
        <v>0</v>
      </c>
      <c r="BH11" s="106">
        <f t="shared" si="47"/>
        <v>0</v>
      </c>
      <c r="BI11" s="106">
        <f t="shared" si="47"/>
        <v>0</v>
      </c>
      <c r="BJ11" s="106">
        <f t="shared" si="47"/>
        <v>0</v>
      </c>
      <c r="BK11" s="106">
        <f t="shared" si="47"/>
        <v>0</v>
      </c>
      <c r="BL11" s="106">
        <f t="shared" si="47"/>
        <v>0</v>
      </c>
      <c r="BM11" s="106">
        <f t="shared" si="12"/>
        <v>0</v>
      </c>
      <c r="BN11" s="106">
        <f t="shared" ref="BN11:BX11" si="48">$AF27/12</f>
        <v>0</v>
      </c>
      <c r="BO11" s="106">
        <f t="shared" si="48"/>
        <v>0</v>
      </c>
      <c r="BP11" s="106">
        <f t="shared" si="48"/>
        <v>0</v>
      </c>
      <c r="BQ11" s="106">
        <f t="shared" si="48"/>
        <v>0</v>
      </c>
      <c r="BR11" s="106">
        <f t="shared" si="48"/>
        <v>0</v>
      </c>
      <c r="BS11" s="106">
        <f t="shared" si="48"/>
        <v>0</v>
      </c>
      <c r="BT11" s="106">
        <f t="shared" si="48"/>
        <v>0</v>
      </c>
      <c r="BU11" s="106">
        <f t="shared" si="48"/>
        <v>0</v>
      </c>
      <c r="BV11" s="106">
        <f t="shared" si="48"/>
        <v>0</v>
      </c>
      <c r="BW11" s="106">
        <f t="shared" si="48"/>
        <v>0</v>
      </c>
      <c r="BX11" s="106">
        <f t="shared" si="48"/>
        <v>0</v>
      </c>
      <c r="BY11" s="106">
        <f t="shared" si="14"/>
        <v>0</v>
      </c>
      <c r="BZ11" s="106">
        <f t="shared" ref="BZ11:CJ11" si="49">$AG27/12</f>
        <v>0</v>
      </c>
      <c r="CA11" s="106">
        <f t="shared" si="49"/>
        <v>0</v>
      </c>
      <c r="CB11" s="106">
        <f t="shared" si="49"/>
        <v>0</v>
      </c>
      <c r="CC11" s="106">
        <f t="shared" si="49"/>
        <v>0</v>
      </c>
      <c r="CD11" s="106">
        <f t="shared" si="49"/>
        <v>0</v>
      </c>
      <c r="CE11" s="106">
        <f t="shared" si="49"/>
        <v>0</v>
      </c>
      <c r="CF11" s="106">
        <f t="shared" si="49"/>
        <v>0</v>
      </c>
      <c r="CG11" s="106">
        <f t="shared" si="49"/>
        <v>0</v>
      </c>
      <c r="CH11" s="106">
        <f t="shared" si="49"/>
        <v>0</v>
      </c>
      <c r="CI11" s="106">
        <f t="shared" si="49"/>
        <v>0</v>
      </c>
      <c r="CJ11" s="106">
        <f t="shared" si="49"/>
        <v>0</v>
      </c>
      <c r="CK11" s="106">
        <f t="shared" si="16"/>
        <v>0</v>
      </c>
      <c r="CL11" s="106">
        <f t="shared" ref="CL11:CV11" si="50">$AH27/12</f>
        <v>0</v>
      </c>
      <c r="CM11" s="106">
        <f t="shared" si="50"/>
        <v>0</v>
      </c>
      <c r="CN11" s="106">
        <f t="shared" si="50"/>
        <v>0</v>
      </c>
      <c r="CO11" s="106">
        <f t="shared" si="50"/>
        <v>0</v>
      </c>
      <c r="CP11" s="106">
        <f t="shared" si="50"/>
        <v>0</v>
      </c>
      <c r="CQ11" s="106">
        <f t="shared" si="50"/>
        <v>0</v>
      </c>
      <c r="CR11" s="106">
        <f t="shared" si="50"/>
        <v>0</v>
      </c>
      <c r="CS11" s="106">
        <f t="shared" si="50"/>
        <v>0</v>
      </c>
      <c r="CT11" s="106">
        <f t="shared" si="50"/>
        <v>0</v>
      </c>
      <c r="CU11" s="106">
        <f t="shared" si="50"/>
        <v>0</v>
      </c>
      <c r="CV11" s="106">
        <f t="shared" si="50"/>
        <v>0</v>
      </c>
      <c r="CW11" s="106">
        <f t="shared" si="18"/>
        <v>0</v>
      </c>
      <c r="CX11" s="106">
        <f t="shared" ref="CX11:DH11" si="51">$AI27/12</f>
        <v>0</v>
      </c>
      <c r="CY11" s="106">
        <f t="shared" si="51"/>
        <v>0</v>
      </c>
      <c r="CZ11" s="106">
        <f t="shared" si="51"/>
        <v>0</v>
      </c>
      <c r="DA11" s="106">
        <f t="shared" si="51"/>
        <v>0</v>
      </c>
      <c r="DB11" s="106">
        <f t="shared" si="51"/>
        <v>0</v>
      </c>
      <c r="DC11" s="106">
        <f t="shared" si="51"/>
        <v>0</v>
      </c>
      <c r="DD11" s="106">
        <f t="shared" si="51"/>
        <v>0</v>
      </c>
      <c r="DE11" s="106">
        <f t="shared" si="51"/>
        <v>0</v>
      </c>
      <c r="DF11" s="106">
        <f t="shared" si="51"/>
        <v>0</v>
      </c>
      <c r="DG11" s="106">
        <f t="shared" si="51"/>
        <v>0</v>
      </c>
      <c r="DH11" s="106">
        <f t="shared" si="51"/>
        <v>0</v>
      </c>
      <c r="DI11" s="106">
        <f t="shared" si="20"/>
        <v>0</v>
      </c>
      <c r="DJ11" s="106">
        <f t="shared" ref="DJ11:DT11" si="52">$AJ27/12</f>
        <v>0</v>
      </c>
      <c r="DK11" s="106">
        <f t="shared" si="52"/>
        <v>0</v>
      </c>
      <c r="DL11" s="106">
        <f t="shared" si="52"/>
        <v>0</v>
      </c>
      <c r="DM11" s="106">
        <f t="shared" si="52"/>
        <v>0</v>
      </c>
      <c r="DN11" s="106">
        <f t="shared" si="52"/>
        <v>0</v>
      </c>
      <c r="DO11" s="106">
        <f t="shared" si="52"/>
        <v>0</v>
      </c>
      <c r="DP11" s="106">
        <f t="shared" si="52"/>
        <v>0</v>
      </c>
      <c r="DQ11" s="106">
        <f t="shared" si="52"/>
        <v>0</v>
      </c>
      <c r="DR11" s="106">
        <f t="shared" si="52"/>
        <v>0</v>
      </c>
      <c r="DS11" s="106">
        <f t="shared" si="52"/>
        <v>0</v>
      </c>
      <c r="DT11" s="106">
        <f t="shared" si="52"/>
        <v>0</v>
      </c>
      <c r="DU11" s="106">
        <f t="shared" si="22"/>
        <v>0</v>
      </c>
      <c r="DV11" s="106">
        <f t="shared" ref="DV11:EF11" si="53">$AK27/12</f>
        <v>0</v>
      </c>
      <c r="DW11" s="106">
        <f t="shared" si="53"/>
        <v>0</v>
      </c>
      <c r="DX11" s="106">
        <f t="shared" si="53"/>
        <v>0</v>
      </c>
      <c r="DY11" s="106">
        <f t="shared" si="53"/>
        <v>0</v>
      </c>
      <c r="DZ11" s="106">
        <f t="shared" si="53"/>
        <v>0</v>
      </c>
      <c r="EA11" s="106">
        <f t="shared" si="53"/>
        <v>0</v>
      </c>
      <c r="EB11" s="106">
        <f t="shared" si="53"/>
        <v>0</v>
      </c>
      <c r="EC11" s="106">
        <f t="shared" si="53"/>
        <v>0</v>
      </c>
      <c r="ED11" s="106">
        <f t="shared" si="53"/>
        <v>0</v>
      </c>
      <c r="EE11" s="106">
        <f t="shared" si="53"/>
        <v>0</v>
      </c>
      <c r="EF11" s="106">
        <f t="shared" si="53"/>
        <v>0</v>
      </c>
      <c r="EG11" s="106">
        <f t="shared" ref="EG11:ER11" si="54">$AK27/12</f>
        <v>0</v>
      </c>
      <c r="EH11" s="106">
        <f t="shared" si="54"/>
        <v>0</v>
      </c>
      <c r="EI11" s="106">
        <f t="shared" si="54"/>
        <v>0</v>
      </c>
      <c r="EJ11" s="106">
        <f t="shared" si="54"/>
        <v>0</v>
      </c>
      <c r="EK11" s="106">
        <f t="shared" si="54"/>
        <v>0</v>
      </c>
      <c r="EL11" s="106">
        <f t="shared" si="54"/>
        <v>0</v>
      </c>
      <c r="EM11" s="106">
        <f t="shared" si="54"/>
        <v>0</v>
      </c>
      <c r="EN11" s="106">
        <f t="shared" si="54"/>
        <v>0</v>
      </c>
      <c r="EO11" s="106">
        <f t="shared" si="54"/>
        <v>0</v>
      </c>
      <c r="EP11" s="106">
        <f t="shared" si="54"/>
        <v>0</v>
      </c>
      <c r="EQ11" s="106">
        <f t="shared" si="54"/>
        <v>0</v>
      </c>
      <c r="ER11" s="106">
        <f t="shared" si="54"/>
        <v>0</v>
      </c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</row>
    <row r="12" spans="1:160" x14ac:dyDescent="0.3">
      <c r="E12" s="76" t="s">
        <v>138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"/>
      <c r="V12" s="3"/>
      <c r="AC12" s="97">
        <f t="shared" si="6"/>
        <v>0</v>
      </c>
      <c r="AD12" s="106">
        <f t="shared" si="6"/>
        <v>0</v>
      </c>
      <c r="AE12" s="106">
        <f t="shared" ref="AE12:AN12" si="55">$AC28/12</f>
        <v>0</v>
      </c>
      <c r="AF12" s="106">
        <f t="shared" si="55"/>
        <v>0</v>
      </c>
      <c r="AG12" s="106">
        <f t="shared" si="55"/>
        <v>0</v>
      </c>
      <c r="AH12" s="106">
        <f t="shared" si="55"/>
        <v>0</v>
      </c>
      <c r="AI12" s="106">
        <f t="shared" si="55"/>
        <v>0</v>
      </c>
      <c r="AJ12" s="106">
        <f t="shared" si="55"/>
        <v>0</v>
      </c>
      <c r="AK12" s="106">
        <f t="shared" si="55"/>
        <v>0</v>
      </c>
      <c r="AL12" s="106">
        <f t="shared" si="55"/>
        <v>0</v>
      </c>
      <c r="AM12" s="106">
        <f t="shared" si="55"/>
        <v>0</v>
      </c>
      <c r="AN12" s="98">
        <f t="shared" si="55"/>
        <v>0</v>
      </c>
      <c r="AO12" s="106">
        <f t="shared" si="8"/>
        <v>0</v>
      </c>
      <c r="AP12" s="106">
        <f t="shared" ref="AP12:AZ12" si="56">$AD28/12</f>
        <v>0</v>
      </c>
      <c r="AQ12" s="106">
        <f t="shared" si="56"/>
        <v>0</v>
      </c>
      <c r="AR12" s="106">
        <f t="shared" si="56"/>
        <v>0</v>
      </c>
      <c r="AS12" s="106">
        <f t="shared" si="56"/>
        <v>0</v>
      </c>
      <c r="AT12" s="106">
        <f t="shared" si="56"/>
        <v>0</v>
      </c>
      <c r="AU12" s="106">
        <f t="shared" si="56"/>
        <v>0</v>
      </c>
      <c r="AV12" s="106">
        <f t="shared" si="56"/>
        <v>0</v>
      </c>
      <c r="AW12" s="106">
        <f t="shared" si="56"/>
        <v>0</v>
      </c>
      <c r="AX12" s="106">
        <f t="shared" si="56"/>
        <v>0</v>
      </c>
      <c r="AY12" s="106">
        <f t="shared" si="56"/>
        <v>0</v>
      </c>
      <c r="AZ12" s="106">
        <f t="shared" si="56"/>
        <v>0</v>
      </c>
      <c r="BA12" s="106">
        <f t="shared" si="10"/>
        <v>0</v>
      </c>
      <c r="BB12" s="106">
        <f t="shared" ref="BB12:BL12" si="57">$AE28/12</f>
        <v>0</v>
      </c>
      <c r="BC12" s="106">
        <f t="shared" si="57"/>
        <v>0</v>
      </c>
      <c r="BD12" s="106">
        <f t="shared" si="57"/>
        <v>0</v>
      </c>
      <c r="BE12" s="106">
        <f t="shared" si="57"/>
        <v>0</v>
      </c>
      <c r="BF12" s="106">
        <f t="shared" si="57"/>
        <v>0</v>
      </c>
      <c r="BG12" s="106">
        <f t="shared" si="57"/>
        <v>0</v>
      </c>
      <c r="BH12" s="106">
        <f t="shared" si="57"/>
        <v>0</v>
      </c>
      <c r="BI12" s="106">
        <f t="shared" si="57"/>
        <v>0</v>
      </c>
      <c r="BJ12" s="106">
        <f t="shared" si="57"/>
        <v>0</v>
      </c>
      <c r="BK12" s="106">
        <f t="shared" si="57"/>
        <v>0</v>
      </c>
      <c r="BL12" s="106">
        <f t="shared" si="57"/>
        <v>0</v>
      </c>
      <c r="BM12" s="106">
        <f t="shared" si="12"/>
        <v>0</v>
      </c>
      <c r="BN12" s="106">
        <f t="shared" ref="BN12:BX12" si="58">$AF28/12</f>
        <v>0</v>
      </c>
      <c r="BO12" s="106">
        <f t="shared" si="58"/>
        <v>0</v>
      </c>
      <c r="BP12" s="106">
        <f t="shared" si="58"/>
        <v>0</v>
      </c>
      <c r="BQ12" s="106">
        <f t="shared" si="58"/>
        <v>0</v>
      </c>
      <c r="BR12" s="106">
        <f t="shared" si="58"/>
        <v>0</v>
      </c>
      <c r="BS12" s="106">
        <f t="shared" si="58"/>
        <v>0</v>
      </c>
      <c r="BT12" s="106">
        <f t="shared" si="58"/>
        <v>0</v>
      </c>
      <c r="BU12" s="106">
        <f t="shared" si="58"/>
        <v>0</v>
      </c>
      <c r="BV12" s="106">
        <f t="shared" si="58"/>
        <v>0</v>
      </c>
      <c r="BW12" s="106">
        <f t="shared" si="58"/>
        <v>0</v>
      </c>
      <c r="BX12" s="106">
        <f t="shared" si="58"/>
        <v>0</v>
      </c>
      <c r="BY12" s="106">
        <f t="shared" si="14"/>
        <v>0</v>
      </c>
      <c r="BZ12" s="106">
        <f t="shared" ref="BZ12:CJ12" si="59">$AG28/12</f>
        <v>0</v>
      </c>
      <c r="CA12" s="106">
        <f t="shared" si="59"/>
        <v>0</v>
      </c>
      <c r="CB12" s="106">
        <f t="shared" si="59"/>
        <v>0</v>
      </c>
      <c r="CC12" s="106">
        <f t="shared" si="59"/>
        <v>0</v>
      </c>
      <c r="CD12" s="106">
        <f t="shared" si="59"/>
        <v>0</v>
      </c>
      <c r="CE12" s="106">
        <f t="shared" si="59"/>
        <v>0</v>
      </c>
      <c r="CF12" s="106">
        <f t="shared" si="59"/>
        <v>0</v>
      </c>
      <c r="CG12" s="106">
        <f t="shared" si="59"/>
        <v>0</v>
      </c>
      <c r="CH12" s="106">
        <f t="shared" si="59"/>
        <v>0</v>
      </c>
      <c r="CI12" s="106">
        <f t="shared" si="59"/>
        <v>0</v>
      </c>
      <c r="CJ12" s="106">
        <f t="shared" si="59"/>
        <v>0</v>
      </c>
      <c r="CK12" s="106">
        <f t="shared" si="16"/>
        <v>0</v>
      </c>
      <c r="CL12" s="106">
        <f t="shared" ref="CL12:CV12" si="60">$AH28/12</f>
        <v>0</v>
      </c>
      <c r="CM12" s="106">
        <f t="shared" si="60"/>
        <v>0</v>
      </c>
      <c r="CN12" s="106">
        <f t="shared" si="60"/>
        <v>0</v>
      </c>
      <c r="CO12" s="106">
        <f t="shared" si="60"/>
        <v>0</v>
      </c>
      <c r="CP12" s="106">
        <f t="shared" si="60"/>
        <v>0</v>
      </c>
      <c r="CQ12" s="106">
        <f t="shared" si="60"/>
        <v>0</v>
      </c>
      <c r="CR12" s="106">
        <f t="shared" si="60"/>
        <v>0</v>
      </c>
      <c r="CS12" s="106">
        <f t="shared" si="60"/>
        <v>0</v>
      </c>
      <c r="CT12" s="106">
        <f t="shared" si="60"/>
        <v>0</v>
      </c>
      <c r="CU12" s="106">
        <f t="shared" si="60"/>
        <v>0</v>
      </c>
      <c r="CV12" s="106">
        <f t="shared" si="60"/>
        <v>0</v>
      </c>
      <c r="CW12" s="106">
        <f t="shared" si="18"/>
        <v>0</v>
      </c>
      <c r="CX12" s="106">
        <f t="shared" ref="CX12:DH12" si="61">$AI28/12</f>
        <v>0</v>
      </c>
      <c r="CY12" s="106">
        <f t="shared" si="61"/>
        <v>0</v>
      </c>
      <c r="CZ12" s="106">
        <f t="shared" si="61"/>
        <v>0</v>
      </c>
      <c r="DA12" s="106">
        <f t="shared" si="61"/>
        <v>0</v>
      </c>
      <c r="DB12" s="106">
        <f t="shared" si="61"/>
        <v>0</v>
      </c>
      <c r="DC12" s="106">
        <f t="shared" si="61"/>
        <v>0</v>
      </c>
      <c r="DD12" s="106">
        <f t="shared" si="61"/>
        <v>0</v>
      </c>
      <c r="DE12" s="106">
        <f t="shared" si="61"/>
        <v>0</v>
      </c>
      <c r="DF12" s="106">
        <f t="shared" si="61"/>
        <v>0</v>
      </c>
      <c r="DG12" s="106">
        <f t="shared" si="61"/>
        <v>0</v>
      </c>
      <c r="DH12" s="106">
        <f t="shared" si="61"/>
        <v>0</v>
      </c>
      <c r="DI12" s="106">
        <f t="shared" si="20"/>
        <v>0</v>
      </c>
      <c r="DJ12" s="106">
        <f t="shared" ref="DJ12:DT12" si="62">$AJ28/12</f>
        <v>0</v>
      </c>
      <c r="DK12" s="106">
        <f t="shared" si="62"/>
        <v>0</v>
      </c>
      <c r="DL12" s="106">
        <f t="shared" si="62"/>
        <v>0</v>
      </c>
      <c r="DM12" s="106">
        <f t="shared" si="62"/>
        <v>0</v>
      </c>
      <c r="DN12" s="106">
        <f t="shared" si="62"/>
        <v>0</v>
      </c>
      <c r="DO12" s="106">
        <f t="shared" si="62"/>
        <v>0</v>
      </c>
      <c r="DP12" s="106">
        <f t="shared" si="62"/>
        <v>0</v>
      </c>
      <c r="DQ12" s="106">
        <f t="shared" si="62"/>
        <v>0</v>
      </c>
      <c r="DR12" s="106">
        <f t="shared" si="62"/>
        <v>0</v>
      </c>
      <c r="DS12" s="106">
        <f t="shared" si="62"/>
        <v>0</v>
      </c>
      <c r="DT12" s="106">
        <f t="shared" si="62"/>
        <v>0</v>
      </c>
      <c r="DU12" s="106">
        <f t="shared" si="22"/>
        <v>0</v>
      </c>
      <c r="DV12" s="106">
        <f t="shared" ref="DV12:EF12" si="63">$AK28/12</f>
        <v>0</v>
      </c>
      <c r="DW12" s="106">
        <f t="shared" si="63"/>
        <v>0</v>
      </c>
      <c r="DX12" s="106">
        <f t="shared" si="63"/>
        <v>0</v>
      </c>
      <c r="DY12" s="106">
        <f t="shared" si="63"/>
        <v>0</v>
      </c>
      <c r="DZ12" s="106">
        <f t="shared" si="63"/>
        <v>0</v>
      </c>
      <c r="EA12" s="106">
        <f t="shared" si="63"/>
        <v>0</v>
      </c>
      <c r="EB12" s="106">
        <f t="shared" si="63"/>
        <v>0</v>
      </c>
      <c r="EC12" s="106">
        <f t="shared" si="63"/>
        <v>0</v>
      </c>
      <c r="ED12" s="106">
        <f t="shared" si="63"/>
        <v>0</v>
      </c>
      <c r="EE12" s="106">
        <f t="shared" si="63"/>
        <v>0</v>
      </c>
      <c r="EF12" s="106">
        <f t="shared" si="63"/>
        <v>0</v>
      </c>
      <c r="EG12" s="106">
        <f t="shared" ref="EG12:ER12" si="64">$AK28/12</f>
        <v>0</v>
      </c>
      <c r="EH12" s="106">
        <f t="shared" si="64"/>
        <v>0</v>
      </c>
      <c r="EI12" s="106">
        <f t="shared" si="64"/>
        <v>0</v>
      </c>
      <c r="EJ12" s="106">
        <f t="shared" si="64"/>
        <v>0</v>
      </c>
      <c r="EK12" s="106">
        <f t="shared" si="64"/>
        <v>0</v>
      </c>
      <c r="EL12" s="106">
        <f t="shared" si="64"/>
        <v>0</v>
      </c>
      <c r="EM12" s="106">
        <f t="shared" si="64"/>
        <v>0</v>
      </c>
      <c r="EN12" s="106">
        <f t="shared" si="64"/>
        <v>0</v>
      </c>
      <c r="EO12" s="106">
        <f t="shared" si="64"/>
        <v>0</v>
      </c>
      <c r="EP12" s="106">
        <f t="shared" si="64"/>
        <v>0</v>
      </c>
      <c r="EQ12" s="106">
        <f t="shared" si="64"/>
        <v>0</v>
      </c>
      <c r="ER12" s="106">
        <f t="shared" si="64"/>
        <v>0</v>
      </c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</row>
    <row r="13" spans="1:160" x14ac:dyDescent="0.3">
      <c r="B13" t="s">
        <v>135</v>
      </c>
      <c r="E13" t="s">
        <v>235</v>
      </c>
      <c r="AC13" s="97">
        <f t="shared" si="6"/>
        <v>6746.166666666667</v>
      </c>
      <c r="AD13" s="106">
        <f t="shared" si="6"/>
        <v>6746.166666666667</v>
      </c>
      <c r="AE13" s="106">
        <f t="shared" ref="AE13:AN13" si="65">$AC29/12</f>
        <v>6746.166666666667</v>
      </c>
      <c r="AF13" s="106">
        <f t="shared" si="65"/>
        <v>6746.166666666667</v>
      </c>
      <c r="AG13" s="106">
        <f t="shared" si="65"/>
        <v>6746.166666666667</v>
      </c>
      <c r="AH13" s="106">
        <f t="shared" si="65"/>
        <v>6746.166666666667</v>
      </c>
      <c r="AI13" s="106">
        <f t="shared" si="65"/>
        <v>6746.166666666667</v>
      </c>
      <c r="AJ13" s="106">
        <f t="shared" si="65"/>
        <v>6746.166666666667</v>
      </c>
      <c r="AK13" s="106">
        <f t="shared" si="65"/>
        <v>6746.166666666667</v>
      </c>
      <c r="AL13" s="106">
        <f t="shared" si="65"/>
        <v>6746.166666666667</v>
      </c>
      <c r="AM13" s="106">
        <f t="shared" si="65"/>
        <v>6746.166666666667</v>
      </c>
      <c r="AN13" s="98">
        <f t="shared" si="65"/>
        <v>6746.166666666667</v>
      </c>
      <c r="AO13" s="106">
        <f t="shared" si="8"/>
        <v>7016.0133333333333</v>
      </c>
      <c r="AP13" s="106">
        <f t="shared" ref="AP13:AZ13" si="66">$AD29/12</f>
        <v>7016.0133333333333</v>
      </c>
      <c r="AQ13" s="106">
        <f t="shared" si="66"/>
        <v>7016.0133333333333</v>
      </c>
      <c r="AR13" s="106">
        <f t="shared" si="66"/>
        <v>7016.0133333333333</v>
      </c>
      <c r="AS13" s="106">
        <f t="shared" si="66"/>
        <v>7016.0133333333333</v>
      </c>
      <c r="AT13" s="106">
        <f t="shared" si="66"/>
        <v>7016.0133333333333</v>
      </c>
      <c r="AU13" s="106">
        <f t="shared" si="66"/>
        <v>7016.0133333333333</v>
      </c>
      <c r="AV13" s="106">
        <f t="shared" si="66"/>
        <v>7016.0133333333333</v>
      </c>
      <c r="AW13" s="106">
        <f t="shared" si="66"/>
        <v>7016.0133333333333</v>
      </c>
      <c r="AX13" s="106">
        <f t="shared" si="66"/>
        <v>7016.0133333333333</v>
      </c>
      <c r="AY13" s="106">
        <f t="shared" si="66"/>
        <v>7016.0133333333333</v>
      </c>
      <c r="AZ13" s="106">
        <f t="shared" si="66"/>
        <v>7016.0133333333333</v>
      </c>
      <c r="BA13" s="106">
        <f t="shared" si="10"/>
        <v>7296.6538666666675</v>
      </c>
      <c r="BB13" s="106">
        <f t="shared" ref="BB13:BL13" si="67">$AE29/12</f>
        <v>7296.6538666666675</v>
      </c>
      <c r="BC13" s="106">
        <f t="shared" si="67"/>
        <v>7296.6538666666675</v>
      </c>
      <c r="BD13" s="106">
        <f t="shared" si="67"/>
        <v>7296.6538666666675</v>
      </c>
      <c r="BE13" s="106">
        <f t="shared" si="67"/>
        <v>7296.6538666666675</v>
      </c>
      <c r="BF13" s="106">
        <f t="shared" si="67"/>
        <v>7296.6538666666675</v>
      </c>
      <c r="BG13" s="106">
        <f t="shared" si="67"/>
        <v>7296.6538666666675</v>
      </c>
      <c r="BH13" s="106">
        <f t="shared" si="67"/>
        <v>7296.6538666666675</v>
      </c>
      <c r="BI13" s="106">
        <f t="shared" si="67"/>
        <v>7296.6538666666675</v>
      </c>
      <c r="BJ13" s="106">
        <f t="shared" si="67"/>
        <v>7296.6538666666675</v>
      </c>
      <c r="BK13" s="106">
        <f t="shared" si="67"/>
        <v>7296.6538666666675</v>
      </c>
      <c r="BL13" s="106">
        <f t="shared" si="67"/>
        <v>7296.6538666666675</v>
      </c>
      <c r="BM13" s="106">
        <f t="shared" si="12"/>
        <v>7588.5200213333346</v>
      </c>
      <c r="BN13" s="106">
        <f t="shared" ref="BN13:BX13" si="68">$AF29/12</f>
        <v>7588.5200213333346</v>
      </c>
      <c r="BO13" s="106">
        <f t="shared" si="68"/>
        <v>7588.5200213333346</v>
      </c>
      <c r="BP13" s="106">
        <f t="shared" si="68"/>
        <v>7588.5200213333346</v>
      </c>
      <c r="BQ13" s="106">
        <f t="shared" si="68"/>
        <v>7588.5200213333346</v>
      </c>
      <c r="BR13" s="106">
        <f t="shared" si="68"/>
        <v>7588.5200213333346</v>
      </c>
      <c r="BS13" s="106">
        <f t="shared" si="68"/>
        <v>7588.5200213333346</v>
      </c>
      <c r="BT13" s="106">
        <f t="shared" si="68"/>
        <v>7588.5200213333346</v>
      </c>
      <c r="BU13" s="106">
        <f t="shared" si="68"/>
        <v>7588.5200213333346</v>
      </c>
      <c r="BV13" s="106">
        <f t="shared" si="68"/>
        <v>7588.5200213333346</v>
      </c>
      <c r="BW13" s="106">
        <f t="shared" si="68"/>
        <v>7588.5200213333346</v>
      </c>
      <c r="BX13" s="106">
        <f t="shared" si="68"/>
        <v>7588.5200213333346</v>
      </c>
      <c r="BY13" s="106">
        <f t="shared" si="14"/>
        <v>7892.0608221866687</v>
      </c>
      <c r="BZ13" s="106">
        <f t="shared" ref="BZ13:CJ13" si="69">$AG29/12</f>
        <v>7892.0608221866687</v>
      </c>
      <c r="CA13" s="106">
        <f t="shared" si="69"/>
        <v>7892.0608221866687</v>
      </c>
      <c r="CB13" s="106">
        <f t="shared" si="69"/>
        <v>7892.0608221866687</v>
      </c>
      <c r="CC13" s="106">
        <f t="shared" si="69"/>
        <v>7892.0608221866687</v>
      </c>
      <c r="CD13" s="106">
        <f t="shared" si="69"/>
        <v>7892.0608221866687</v>
      </c>
      <c r="CE13" s="106">
        <f t="shared" si="69"/>
        <v>7892.0608221866687</v>
      </c>
      <c r="CF13" s="106">
        <f t="shared" si="69"/>
        <v>7892.0608221866687</v>
      </c>
      <c r="CG13" s="106">
        <f t="shared" si="69"/>
        <v>7892.0608221866687</v>
      </c>
      <c r="CH13" s="106">
        <f t="shared" si="69"/>
        <v>7892.0608221866687</v>
      </c>
      <c r="CI13" s="106">
        <f t="shared" si="69"/>
        <v>7892.0608221866687</v>
      </c>
      <c r="CJ13" s="106">
        <f t="shared" si="69"/>
        <v>7892.0608221866687</v>
      </c>
      <c r="CK13" s="106">
        <f t="shared" si="16"/>
        <v>8207.743255074136</v>
      </c>
      <c r="CL13" s="106">
        <f t="shared" ref="CL13:CV13" si="70">$AH29/12</f>
        <v>8207.743255074136</v>
      </c>
      <c r="CM13" s="106">
        <f t="shared" si="70"/>
        <v>8207.743255074136</v>
      </c>
      <c r="CN13" s="106">
        <f t="shared" si="70"/>
        <v>8207.743255074136</v>
      </c>
      <c r="CO13" s="106">
        <f t="shared" si="70"/>
        <v>8207.743255074136</v>
      </c>
      <c r="CP13" s="106">
        <f t="shared" si="70"/>
        <v>8207.743255074136</v>
      </c>
      <c r="CQ13" s="106">
        <f t="shared" si="70"/>
        <v>8207.743255074136</v>
      </c>
      <c r="CR13" s="106">
        <f t="shared" si="70"/>
        <v>8207.743255074136</v>
      </c>
      <c r="CS13" s="106">
        <f t="shared" si="70"/>
        <v>8207.743255074136</v>
      </c>
      <c r="CT13" s="106">
        <f t="shared" si="70"/>
        <v>8207.743255074136</v>
      </c>
      <c r="CU13" s="106">
        <f t="shared" si="70"/>
        <v>8207.743255074136</v>
      </c>
      <c r="CV13" s="106">
        <f t="shared" si="70"/>
        <v>8207.743255074136</v>
      </c>
      <c r="CW13" s="106">
        <f t="shared" si="18"/>
        <v>8536.0529852771015</v>
      </c>
      <c r="CX13" s="106">
        <f t="shared" ref="CX13:DH13" si="71">$AI29/12</f>
        <v>8536.0529852771015</v>
      </c>
      <c r="CY13" s="106">
        <f t="shared" si="71"/>
        <v>8536.0529852771015</v>
      </c>
      <c r="CZ13" s="106">
        <f t="shared" si="71"/>
        <v>8536.0529852771015</v>
      </c>
      <c r="DA13" s="106">
        <f t="shared" si="71"/>
        <v>8536.0529852771015</v>
      </c>
      <c r="DB13" s="106">
        <f t="shared" si="71"/>
        <v>8536.0529852771015</v>
      </c>
      <c r="DC13" s="106">
        <f t="shared" si="71"/>
        <v>8536.0529852771015</v>
      </c>
      <c r="DD13" s="106">
        <f t="shared" si="71"/>
        <v>8536.0529852771015</v>
      </c>
      <c r="DE13" s="106">
        <f t="shared" si="71"/>
        <v>8536.0529852771015</v>
      </c>
      <c r="DF13" s="106">
        <f t="shared" si="71"/>
        <v>8536.0529852771015</v>
      </c>
      <c r="DG13" s="106">
        <f t="shared" si="71"/>
        <v>8536.0529852771015</v>
      </c>
      <c r="DH13" s="106">
        <f t="shared" si="71"/>
        <v>8536.0529852771015</v>
      </c>
      <c r="DI13" s="106">
        <f t="shared" si="20"/>
        <v>8877.495104688187</v>
      </c>
      <c r="DJ13" s="106">
        <f t="shared" ref="DJ13:DT13" si="72">$AJ29/12</f>
        <v>8877.495104688187</v>
      </c>
      <c r="DK13" s="106">
        <f t="shared" si="72"/>
        <v>8877.495104688187</v>
      </c>
      <c r="DL13" s="106">
        <f t="shared" si="72"/>
        <v>8877.495104688187</v>
      </c>
      <c r="DM13" s="106">
        <f t="shared" si="72"/>
        <v>8877.495104688187</v>
      </c>
      <c r="DN13" s="106">
        <f t="shared" si="72"/>
        <v>8877.495104688187</v>
      </c>
      <c r="DO13" s="106">
        <f t="shared" si="72"/>
        <v>8877.495104688187</v>
      </c>
      <c r="DP13" s="106">
        <f t="shared" si="72"/>
        <v>8877.495104688187</v>
      </c>
      <c r="DQ13" s="106">
        <f t="shared" si="72"/>
        <v>8877.495104688187</v>
      </c>
      <c r="DR13" s="106">
        <f t="shared" si="72"/>
        <v>8877.495104688187</v>
      </c>
      <c r="DS13" s="106">
        <f t="shared" si="72"/>
        <v>8877.495104688187</v>
      </c>
      <c r="DT13" s="106">
        <f t="shared" si="72"/>
        <v>8877.495104688187</v>
      </c>
      <c r="DU13" s="106">
        <f t="shared" si="22"/>
        <v>9232.5949088757152</v>
      </c>
      <c r="DV13" s="106">
        <f t="shared" ref="DV13:EF13" si="73">$AK29/12</f>
        <v>9232.5949088757152</v>
      </c>
      <c r="DW13" s="106">
        <f t="shared" si="73"/>
        <v>9232.5949088757152</v>
      </c>
      <c r="DX13" s="106">
        <f t="shared" si="73"/>
        <v>9232.5949088757152</v>
      </c>
      <c r="DY13" s="106">
        <f t="shared" si="73"/>
        <v>9232.5949088757152</v>
      </c>
      <c r="DZ13" s="106">
        <f t="shared" si="73"/>
        <v>9232.5949088757152</v>
      </c>
      <c r="EA13" s="106">
        <f t="shared" si="73"/>
        <v>9232.5949088757152</v>
      </c>
      <c r="EB13" s="106">
        <f t="shared" si="73"/>
        <v>9232.5949088757152</v>
      </c>
      <c r="EC13" s="106">
        <f t="shared" si="73"/>
        <v>9232.5949088757152</v>
      </c>
      <c r="ED13" s="106">
        <f t="shared" si="73"/>
        <v>9232.5949088757152</v>
      </c>
      <c r="EE13" s="106">
        <f t="shared" si="73"/>
        <v>9232.5949088757152</v>
      </c>
      <c r="EF13" s="106">
        <f t="shared" si="73"/>
        <v>9232.5949088757152</v>
      </c>
      <c r="EG13" s="106">
        <f t="shared" ref="EG13:ER13" si="74">$AK29/12</f>
        <v>9232.5949088757152</v>
      </c>
      <c r="EH13" s="106">
        <f t="shared" si="74"/>
        <v>9232.5949088757152</v>
      </c>
      <c r="EI13" s="106">
        <f t="shared" si="74"/>
        <v>9232.5949088757152</v>
      </c>
      <c r="EJ13" s="106">
        <f t="shared" si="74"/>
        <v>9232.5949088757152</v>
      </c>
      <c r="EK13" s="106">
        <f t="shared" si="74"/>
        <v>9232.5949088757152</v>
      </c>
      <c r="EL13" s="106">
        <f t="shared" si="74"/>
        <v>9232.5949088757152</v>
      </c>
      <c r="EM13" s="106">
        <f t="shared" si="74"/>
        <v>9232.5949088757152</v>
      </c>
      <c r="EN13" s="106">
        <f t="shared" si="74"/>
        <v>9232.5949088757152</v>
      </c>
      <c r="EO13" s="106">
        <f t="shared" si="74"/>
        <v>9232.5949088757152</v>
      </c>
      <c r="EP13" s="106">
        <f t="shared" si="74"/>
        <v>9232.5949088757152</v>
      </c>
      <c r="EQ13" s="106">
        <f t="shared" si="74"/>
        <v>9232.5949088757152</v>
      </c>
      <c r="ER13" s="106">
        <f t="shared" si="74"/>
        <v>9232.5949088757152</v>
      </c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</row>
    <row r="14" spans="1:160" s="1" customFormat="1" x14ac:dyDescent="0.3">
      <c r="B14" s="1" t="s">
        <v>135</v>
      </c>
      <c r="E14" t="s">
        <v>233</v>
      </c>
      <c r="K14" s="49"/>
      <c r="L14" s="49"/>
      <c r="M14" s="49"/>
      <c r="N14" s="49"/>
      <c r="O14" s="49"/>
      <c r="P14" s="49"/>
      <c r="Q14" s="49"/>
      <c r="R14" s="49"/>
      <c r="S14" s="49"/>
      <c r="T14" s="159"/>
      <c r="U14" s="159"/>
      <c r="V14" s="159"/>
      <c r="AB14" s="11"/>
      <c r="AC14" s="97">
        <f t="shared" si="6"/>
        <v>12532.5</v>
      </c>
      <c r="AD14" s="106">
        <f t="shared" si="6"/>
        <v>12532.5</v>
      </c>
      <c r="AE14" s="106">
        <f t="shared" ref="AE14:AN14" si="75">$AC30/12</f>
        <v>12532.5</v>
      </c>
      <c r="AF14" s="106">
        <f t="shared" si="75"/>
        <v>12532.5</v>
      </c>
      <c r="AG14" s="106">
        <f t="shared" si="75"/>
        <v>12532.5</v>
      </c>
      <c r="AH14" s="106">
        <f t="shared" si="75"/>
        <v>12532.5</v>
      </c>
      <c r="AI14" s="106">
        <f t="shared" si="75"/>
        <v>12532.5</v>
      </c>
      <c r="AJ14" s="106">
        <f t="shared" si="75"/>
        <v>12532.5</v>
      </c>
      <c r="AK14" s="106">
        <f t="shared" si="75"/>
        <v>12532.5</v>
      </c>
      <c r="AL14" s="106">
        <f t="shared" si="75"/>
        <v>12532.5</v>
      </c>
      <c r="AM14" s="106">
        <f t="shared" si="75"/>
        <v>12532.5</v>
      </c>
      <c r="AN14" s="98">
        <f t="shared" si="75"/>
        <v>12532.5</v>
      </c>
      <c r="AO14" s="106">
        <f t="shared" si="8"/>
        <v>12532.5</v>
      </c>
      <c r="AP14" s="106">
        <f t="shared" ref="AP14:AZ14" si="76">$AD30/12</f>
        <v>12532.5</v>
      </c>
      <c r="AQ14" s="106">
        <f t="shared" si="76"/>
        <v>12532.5</v>
      </c>
      <c r="AR14" s="106">
        <f t="shared" si="76"/>
        <v>12532.5</v>
      </c>
      <c r="AS14" s="106">
        <f t="shared" si="76"/>
        <v>12532.5</v>
      </c>
      <c r="AT14" s="106">
        <f t="shared" si="76"/>
        <v>12532.5</v>
      </c>
      <c r="AU14" s="106">
        <f t="shared" si="76"/>
        <v>12532.5</v>
      </c>
      <c r="AV14" s="106">
        <f t="shared" si="76"/>
        <v>12532.5</v>
      </c>
      <c r="AW14" s="106">
        <f t="shared" si="76"/>
        <v>12532.5</v>
      </c>
      <c r="AX14" s="106">
        <f t="shared" si="76"/>
        <v>12532.5</v>
      </c>
      <c r="AY14" s="106">
        <f t="shared" si="76"/>
        <v>12532.5</v>
      </c>
      <c r="AZ14" s="106">
        <f t="shared" si="76"/>
        <v>12532.5</v>
      </c>
      <c r="BA14" s="106">
        <f t="shared" si="10"/>
        <v>13033.800000000001</v>
      </c>
      <c r="BB14" s="106">
        <f t="shared" ref="BB14:BL14" si="77">$AE30/12</f>
        <v>13033.800000000001</v>
      </c>
      <c r="BC14" s="106">
        <f t="shared" si="77"/>
        <v>13033.800000000001</v>
      </c>
      <c r="BD14" s="106">
        <f t="shared" si="77"/>
        <v>13033.800000000001</v>
      </c>
      <c r="BE14" s="106">
        <f t="shared" si="77"/>
        <v>13033.800000000001</v>
      </c>
      <c r="BF14" s="106">
        <f t="shared" si="77"/>
        <v>13033.800000000001</v>
      </c>
      <c r="BG14" s="106">
        <f t="shared" si="77"/>
        <v>13033.800000000001</v>
      </c>
      <c r="BH14" s="106">
        <f t="shared" si="77"/>
        <v>13033.800000000001</v>
      </c>
      <c r="BI14" s="106">
        <f t="shared" si="77"/>
        <v>13033.800000000001</v>
      </c>
      <c r="BJ14" s="106">
        <f t="shared" si="77"/>
        <v>13033.800000000001</v>
      </c>
      <c r="BK14" s="106">
        <f t="shared" si="77"/>
        <v>13033.800000000001</v>
      </c>
      <c r="BL14" s="106">
        <f t="shared" si="77"/>
        <v>13033.800000000001</v>
      </c>
      <c r="BM14" s="106">
        <f t="shared" si="12"/>
        <v>13555.152000000002</v>
      </c>
      <c r="BN14" s="106">
        <f t="shared" ref="BN14:BX14" si="78">$AF30/12</f>
        <v>13555.152000000002</v>
      </c>
      <c r="BO14" s="106">
        <f t="shared" si="78"/>
        <v>13555.152000000002</v>
      </c>
      <c r="BP14" s="106">
        <f t="shared" si="78"/>
        <v>13555.152000000002</v>
      </c>
      <c r="BQ14" s="106">
        <f t="shared" si="78"/>
        <v>13555.152000000002</v>
      </c>
      <c r="BR14" s="106">
        <f t="shared" si="78"/>
        <v>13555.152000000002</v>
      </c>
      <c r="BS14" s="106">
        <f t="shared" si="78"/>
        <v>13555.152000000002</v>
      </c>
      <c r="BT14" s="106">
        <f t="shared" si="78"/>
        <v>13555.152000000002</v>
      </c>
      <c r="BU14" s="106">
        <f t="shared" si="78"/>
        <v>13555.152000000002</v>
      </c>
      <c r="BV14" s="106">
        <f t="shared" si="78"/>
        <v>13555.152000000002</v>
      </c>
      <c r="BW14" s="106">
        <f t="shared" si="78"/>
        <v>13555.152000000002</v>
      </c>
      <c r="BX14" s="106">
        <f t="shared" si="78"/>
        <v>13555.152000000002</v>
      </c>
      <c r="BY14" s="106">
        <f t="shared" si="14"/>
        <v>14097.358080000004</v>
      </c>
      <c r="BZ14" s="106">
        <f t="shared" ref="BZ14:CJ14" si="79">$AG30/12</f>
        <v>14097.358080000004</v>
      </c>
      <c r="CA14" s="106">
        <f t="shared" si="79"/>
        <v>14097.358080000004</v>
      </c>
      <c r="CB14" s="106">
        <f t="shared" si="79"/>
        <v>14097.358080000004</v>
      </c>
      <c r="CC14" s="106">
        <f t="shared" si="79"/>
        <v>14097.358080000004</v>
      </c>
      <c r="CD14" s="106">
        <f t="shared" si="79"/>
        <v>14097.358080000004</v>
      </c>
      <c r="CE14" s="106">
        <f t="shared" si="79"/>
        <v>14097.358080000004</v>
      </c>
      <c r="CF14" s="106">
        <f t="shared" si="79"/>
        <v>14097.358080000004</v>
      </c>
      <c r="CG14" s="106">
        <f t="shared" si="79"/>
        <v>14097.358080000004</v>
      </c>
      <c r="CH14" s="106">
        <f t="shared" si="79"/>
        <v>14097.358080000004</v>
      </c>
      <c r="CI14" s="106">
        <f t="shared" si="79"/>
        <v>14097.358080000004</v>
      </c>
      <c r="CJ14" s="106">
        <f t="shared" si="79"/>
        <v>14097.358080000004</v>
      </c>
      <c r="CK14" s="106">
        <f t="shared" si="16"/>
        <v>14661.252403200002</v>
      </c>
      <c r="CL14" s="106">
        <f t="shared" ref="CL14:CV14" si="80">$AH30/12</f>
        <v>14661.252403200002</v>
      </c>
      <c r="CM14" s="106">
        <f t="shared" si="80"/>
        <v>14661.252403200002</v>
      </c>
      <c r="CN14" s="106">
        <f t="shared" si="80"/>
        <v>14661.252403200002</v>
      </c>
      <c r="CO14" s="106">
        <f t="shared" si="80"/>
        <v>14661.252403200002</v>
      </c>
      <c r="CP14" s="106">
        <f t="shared" si="80"/>
        <v>14661.252403200002</v>
      </c>
      <c r="CQ14" s="106">
        <f t="shared" si="80"/>
        <v>14661.252403200002</v>
      </c>
      <c r="CR14" s="106">
        <f t="shared" si="80"/>
        <v>14661.252403200002</v>
      </c>
      <c r="CS14" s="106">
        <f t="shared" si="80"/>
        <v>14661.252403200002</v>
      </c>
      <c r="CT14" s="106">
        <f t="shared" si="80"/>
        <v>14661.252403200002</v>
      </c>
      <c r="CU14" s="106">
        <f t="shared" si="80"/>
        <v>14661.252403200002</v>
      </c>
      <c r="CV14" s="106">
        <f t="shared" si="80"/>
        <v>14661.252403200002</v>
      </c>
      <c r="CW14" s="106">
        <f t="shared" si="18"/>
        <v>15247.702499328005</v>
      </c>
      <c r="CX14" s="106">
        <f t="shared" ref="CX14:DH14" si="81">$AI30/12</f>
        <v>15247.702499328005</v>
      </c>
      <c r="CY14" s="106">
        <f t="shared" si="81"/>
        <v>15247.702499328005</v>
      </c>
      <c r="CZ14" s="106">
        <f t="shared" si="81"/>
        <v>15247.702499328005</v>
      </c>
      <c r="DA14" s="106">
        <f t="shared" si="81"/>
        <v>15247.702499328005</v>
      </c>
      <c r="DB14" s="106">
        <f t="shared" si="81"/>
        <v>15247.702499328005</v>
      </c>
      <c r="DC14" s="106">
        <f t="shared" si="81"/>
        <v>15247.702499328005</v>
      </c>
      <c r="DD14" s="106">
        <f t="shared" si="81"/>
        <v>15247.702499328005</v>
      </c>
      <c r="DE14" s="106">
        <f t="shared" si="81"/>
        <v>15247.702499328005</v>
      </c>
      <c r="DF14" s="106">
        <f t="shared" si="81"/>
        <v>15247.702499328005</v>
      </c>
      <c r="DG14" s="106">
        <f t="shared" si="81"/>
        <v>15247.702499328005</v>
      </c>
      <c r="DH14" s="106">
        <f t="shared" si="81"/>
        <v>15247.702499328005</v>
      </c>
      <c r="DI14" s="106">
        <f t="shared" si="20"/>
        <v>15857.610599301124</v>
      </c>
      <c r="DJ14" s="106">
        <f t="shared" ref="DJ14:DT14" si="82">$AJ30/12</f>
        <v>15857.610599301124</v>
      </c>
      <c r="DK14" s="106">
        <f t="shared" si="82"/>
        <v>15857.610599301124</v>
      </c>
      <c r="DL14" s="106">
        <f t="shared" si="82"/>
        <v>15857.610599301124</v>
      </c>
      <c r="DM14" s="106">
        <f t="shared" si="82"/>
        <v>15857.610599301124</v>
      </c>
      <c r="DN14" s="106">
        <f t="shared" si="82"/>
        <v>15857.610599301124</v>
      </c>
      <c r="DO14" s="106">
        <f t="shared" si="82"/>
        <v>15857.610599301124</v>
      </c>
      <c r="DP14" s="106">
        <f t="shared" si="82"/>
        <v>15857.610599301124</v>
      </c>
      <c r="DQ14" s="106">
        <f t="shared" si="82"/>
        <v>15857.610599301124</v>
      </c>
      <c r="DR14" s="106">
        <f t="shared" si="82"/>
        <v>15857.610599301124</v>
      </c>
      <c r="DS14" s="106">
        <f t="shared" si="82"/>
        <v>15857.610599301124</v>
      </c>
      <c r="DT14" s="106">
        <f t="shared" si="82"/>
        <v>15857.610599301124</v>
      </c>
      <c r="DU14" s="106">
        <f t="shared" si="22"/>
        <v>16491.91502327317</v>
      </c>
      <c r="DV14" s="106">
        <f t="shared" ref="DV14:EF14" si="83">$AK30/12</f>
        <v>16491.91502327317</v>
      </c>
      <c r="DW14" s="106">
        <f t="shared" si="83"/>
        <v>16491.91502327317</v>
      </c>
      <c r="DX14" s="106">
        <f t="shared" si="83"/>
        <v>16491.91502327317</v>
      </c>
      <c r="DY14" s="106">
        <f t="shared" si="83"/>
        <v>16491.91502327317</v>
      </c>
      <c r="DZ14" s="106">
        <f t="shared" si="83"/>
        <v>16491.91502327317</v>
      </c>
      <c r="EA14" s="106">
        <f t="shared" si="83"/>
        <v>16491.91502327317</v>
      </c>
      <c r="EB14" s="106">
        <f t="shared" si="83"/>
        <v>16491.91502327317</v>
      </c>
      <c r="EC14" s="106">
        <f t="shared" si="83"/>
        <v>16491.91502327317</v>
      </c>
      <c r="ED14" s="106">
        <f t="shared" si="83"/>
        <v>16491.91502327317</v>
      </c>
      <c r="EE14" s="106">
        <f t="shared" si="83"/>
        <v>16491.91502327317</v>
      </c>
      <c r="EF14" s="106">
        <f t="shared" si="83"/>
        <v>16491.91502327317</v>
      </c>
      <c r="EG14" s="106">
        <f t="shared" ref="EG14:ER14" si="84">$AK30/12</f>
        <v>16491.91502327317</v>
      </c>
      <c r="EH14" s="106">
        <f t="shared" si="84"/>
        <v>16491.91502327317</v>
      </c>
      <c r="EI14" s="106">
        <f t="shared" si="84"/>
        <v>16491.91502327317</v>
      </c>
      <c r="EJ14" s="106">
        <f t="shared" si="84"/>
        <v>16491.91502327317</v>
      </c>
      <c r="EK14" s="106">
        <f t="shared" si="84"/>
        <v>16491.91502327317</v>
      </c>
      <c r="EL14" s="106">
        <f t="shared" si="84"/>
        <v>16491.91502327317</v>
      </c>
      <c r="EM14" s="106">
        <f t="shared" si="84"/>
        <v>16491.91502327317</v>
      </c>
      <c r="EN14" s="106">
        <f t="shared" si="84"/>
        <v>16491.91502327317</v>
      </c>
      <c r="EO14" s="106">
        <f t="shared" si="84"/>
        <v>16491.91502327317</v>
      </c>
      <c r="EP14" s="106">
        <f t="shared" si="84"/>
        <v>16491.91502327317</v>
      </c>
      <c r="EQ14" s="106">
        <f t="shared" si="84"/>
        <v>16491.91502327317</v>
      </c>
      <c r="ER14" s="106">
        <f t="shared" si="84"/>
        <v>16491.91502327317</v>
      </c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</row>
    <row r="15" spans="1:160" s="38" customFormat="1" x14ac:dyDescent="0.3">
      <c r="D15" s="38" t="s">
        <v>140</v>
      </c>
      <c r="K15" s="38">
        <f>COUNTIF(B7:B14, "O")</f>
        <v>4</v>
      </c>
      <c r="AB15" s="160"/>
      <c r="AC15" s="161">
        <f>SUMIF($B$7:$B$14, "o", AC7:AC14)</f>
        <v>100196.75</v>
      </c>
      <c r="AD15" s="161">
        <f t="shared" ref="AD15:BH15" si="85">SUMIF($B$7:$B$14, "o", AD7:AD14)</f>
        <v>100196.75</v>
      </c>
      <c r="AE15" s="161">
        <f t="shared" si="85"/>
        <v>100196.75</v>
      </c>
      <c r="AF15" s="161">
        <f t="shared" si="85"/>
        <v>100196.75</v>
      </c>
      <c r="AG15" s="161">
        <f t="shared" si="85"/>
        <v>100196.75</v>
      </c>
      <c r="AH15" s="161">
        <f t="shared" si="85"/>
        <v>100196.75</v>
      </c>
      <c r="AI15" s="161">
        <f t="shared" si="85"/>
        <v>100196.75</v>
      </c>
      <c r="AJ15" s="161">
        <f t="shared" si="85"/>
        <v>100196.75</v>
      </c>
      <c r="AK15" s="161">
        <f t="shared" si="85"/>
        <v>100196.75</v>
      </c>
      <c r="AL15" s="161">
        <f t="shared" si="85"/>
        <v>100196.75</v>
      </c>
      <c r="AM15" s="161">
        <f t="shared" si="85"/>
        <v>100196.75</v>
      </c>
      <c r="AN15" s="230">
        <f t="shared" si="85"/>
        <v>100196.75</v>
      </c>
      <c r="AO15" s="161">
        <f t="shared" si="85"/>
        <v>100466.59666666666</v>
      </c>
      <c r="AP15" s="161">
        <f t="shared" si="85"/>
        <v>100466.59666666666</v>
      </c>
      <c r="AQ15" s="161">
        <f t="shared" si="85"/>
        <v>100466.59666666666</v>
      </c>
      <c r="AR15" s="161">
        <f t="shared" si="85"/>
        <v>100466.59666666666</v>
      </c>
      <c r="AS15" s="161">
        <f t="shared" si="85"/>
        <v>100466.59666666666</v>
      </c>
      <c r="AT15" s="161">
        <f t="shared" si="85"/>
        <v>100466.59666666666</v>
      </c>
      <c r="AU15" s="161">
        <f t="shared" si="85"/>
        <v>100466.59666666666</v>
      </c>
      <c r="AV15" s="161">
        <f t="shared" si="85"/>
        <v>100466.59666666666</v>
      </c>
      <c r="AW15" s="161">
        <f t="shared" si="85"/>
        <v>100466.59666666666</v>
      </c>
      <c r="AX15" s="161">
        <f t="shared" si="85"/>
        <v>100466.59666666666</v>
      </c>
      <c r="AY15" s="161">
        <f t="shared" si="85"/>
        <v>100466.59666666666</v>
      </c>
      <c r="AZ15" s="161">
        <f t="shared" si="85"/>
        <v>100466.59666666666</v>
      </c>
      <c r="BA15" s="161">
        <f t="shared" si="85"/>
        <v>101248.53720000001</v>
      </c>
      <c r="BB15" s="161">
        <f t="shared" si="85"/>
        <v>101248.53720000001</v>
      </c>
      <c r="BC15" s="161">
        <f t="shared" si="85"/>
        <v>101248.53720000001</v>
      </c>
      <c r="BD15" s="161">
        <f t="shared" si="85"/>
        <v>101248.53720000001</v>
      </c>
      <c r="BE15" s="161">
        <f t="shared" si="85"/>
        <v>101248.53720000001</v>
      </c>
      <c r="BF15" s="161">
        <f t="shared" si="85"/>
        <v>101248.53720000001</v>
      </c>
      <c r="BG15" s="161">
        <f t="shared" si="85"/>
        <v>101248.53720000001</v>
      </c>
      <c r="BH15" s="161">
        <f t="shared" si="85"/>
        <v>101248.53720000001</v>
      </c>
      <c r="BI15" s="161">
        <f t="shared" ref="BI15:CN15" si="86">SUMIF($B$7:$B$14, "o", BI7:BI14)</f>
        <v>101248.53720000001</v>
      </c>
      <c r="BJ15" s="161">
        <f t="shared" si="86"/>
        <v>101248.53720000001</v>
      </c>
      <c r="BK15" s="161">
        <f t="shared" si="86"/>
        <v>101248.53720000001</v>
      </c>
      <c r="BL15" s="161">
        <f t="shared" si="86"/>
        <v>101248.53720000001</v>
      </c>
      <c r="BM15" s="161">
        <f t="shared" si="86"/>
        <v>102061.75535466666</v>
      </c>
      <c r="BN15" s="161">
        <f t="shared" si="86"/>
        <v>102061.75535466666</v>
      </c>
      <c r="BO15" s="161">
        <f t="shared" si="86"/>
        <v>102061.75535466666</v>
      </c>
      <c r="BP15" s="161">
        <f t="shared" si="86"/>
        <v>102061.75535466666</v>
      </c>
      <c r="BQ15" s="161">
        <f t="shared" si="86"/>
        <v>102061.75535466666</v>
      </c>
      <c r="BR15" s="161">
        <f t="shared" si="86"/>
        <v>102061.75535466666</v>
      </c>
      <c r="BS15" s="161">
        <f t="shared" si="86"/>
        <v>102061.75535466666</v>
      </c>
      <c r="BT15" s="161">
        <f t="shared" si="86"/>
        <v>102061.75535466666</v>
      </c>
      <c r="BU15" s="161">
        <f t="shared" si="86"/>
        <v>102061.75535466666</v>
      </c>
      <c r="BV15" s="161">
        <f t="shared" si="86"/>
        <v>102061.75535466666</v>
      </c>
      <c r="BW15" s="161">
        <f t="shared" si="86"/>
        <v>102061.75535466666</v>
      </c>
      <c r="BX15" s="161">
        <f t="shared" si="86"/>
        <v>102061.75535466666</v>
      </c>
      <c r="BY15" s="161">
        <f t="shared" si="86"/>
        <v>104916.83556885333</v>
      </c>
      <c r="BZ15" s="161">
        <f t="shared" si="86"/>
        <v>104916.83556885333</v>
      </c>
      <c r="CA15" s="161">
        <f t="shared" si="86"/>
        <v>104916.83556885333</v>
      </c>
      <c r="CB15" s="161">
        <f t="shared" si="86"/>
        <v>104916.83556885333</v>
      </c>
      <c r="CC15" s="161">
        <f t="shared" si="86"/>
        <v>104916.83556885333</v>
      </c>
      <c r="CD15" s="161">
        <f t="shared" si="86"/>
        <v>104916.83556885333</v>
      </c>
      <c r="CE15" s="161">
        <f t="shared" si="86"/>
        <v>104916.83556885333</v>
      </c>
      <c r="CF15" s="161">
        <f t="shared" si="86"/>
        <v>104916.83556885333</v>
      </c>
      <c r="CG15" s="161">
        <f t="shared" si="86"/>
        <v>104916.83556885333</v>
      </c>
      <c r="CH15" s="161">
        <f t="shared" si="86"/>
        <v>104916.83556885333</v>
      </c>
      <c r="CI15" s="161">
        <f t="shared" si="86"/>
        <v>104916.83556885333</v>
      </c>
      <c r="CJ15" s="161">
        <f t="shared" si="86"/>
        <v>104916.83556885333</v>
      </c>
      <c r="CK15" s="161">
        <f t="shared" si="86"/>
        <v>106796.73565827413</v>
      </c>
      <c r="CL15" s="161">
        <f t="shared" si="86"/>
        <v>106796.73565827413</v>
      </c>
      <c r="CM15" s="161">
        <f t="shared" si="86"/>
        <v>106796.73565827413</v>
      </c>
      <c r="CN15" s="161">
        <f t="shared" si="86"/>
        <v>106796.73565827413</v>
      </c>
      <c r="CO15" s="161">
        <f t="shared" ref="CO15:DT15" si="87">SUMIF($B$7:$B$14, "o", CO7:CO14)</f>
        <v>106796.73565827413</v>
      </c>
      <c r="CP15" s="161">
        <f t="shared" si="87"/>
        <v>106796.73565827413</v>
      </c>
      <c r="CQ15" s="161">
        <f t="shared" si="87"/>
        <v>106796.73565827413</v>
      </c>
      <c r="CR15" s="161">
        <f t="shared" si="87"/>
        <v>106796.73565827413</v>
      </c>
      <c r="CS15" s="161">
        <f t="shared" si="87"/>
        <v>106796.73565827413</v>
      </c>
      <c r="CT15" s="161">
        <f t="shared" si="87"/>
        <v>106796.73565827413</v>
      </c>
      <c r="CU15" s="161">
        <f t="shared" si="87"/>
        <v>106796.73565827413</v>
      </c>
      <c r="CV15" s="161">
        <f t="shared" si="87"/>
        <v>106796.73565827413</v>
      </c>
      <c r="CW15" s="161">
        <f t="shared" si="87"/>
        <v>107711.4954846051</v>
      </c>
      <c r="CX15" s="161">
        <f t="shared" si="87"/>
        <v>107711.4954846051</v>
      </c>
      <c r="CY15" s="161">
        <f t="shared" si="87"/>
        <v>107711.4954846051</v>
      </c>
      <c r="CZ15" s="161">
        <f t="shared" si="87"/>
        <v>107711.4954846051</v>
      </c>
      <c r="DA15" s="161">
        <f t="shared" si="87"/>
        <v>107711.4954846051</v>
      </c>
      <c r="DB15" s="161">
        <f t="shared" si="87"/>
        <v>107711.4954846051</v>
      </c>
      <c r="DC15" s="161">
        <f t="shared" si="87"/>
        <v>107711.4954846051</v>
      </c>
      <c r="DD15" s="161">
        <f t="shared" si="87"/>
        <v>107711.4954846051</v>
      </c>
      <c r="DE15" s="161">
        <f t="shared" si="87"/>
        <v>107711.4954846051</v>
      </c>
      <c r="DF15" s="161">
        <f t="shared" si="87"/>
        <v>107711.4954846051</v>
      </c>
      <c r="DG15" s="161">
        <f t="shared" si="87"/>
        <v>107711.4954846051</v>
      </c>
      <c r="DH15" s="161">
        <f t="shared" si="87"/>
        <v>107711.4954846051</v>
      </c>
      <c r="DI15" s="161">
        <f t="shared" si="87"/>
        <v>108662.84570398931</v>
      </c>
      <c r="DJ15" s="161">
        <f t="shared" si="87"/>
        <v>108662.84570398931</v>
      </c>
      <c r="DK15" s="161">
        <f t="shared" si="87"/>
        <v>108662.84570398931</v>
      </c>
      <c r="DL15" s="161">
        <f t="shared" si="87"/>
        <v>108662.84570398931</v>
      </c>
      <c r="DM15" s="161">
        <f t="shared" si="87"/>
        <v>108662.84570398931</v>
      </c>
      <c r="DN15" s="161">
        <f t="shared" si="87"/>
        <v>108662.84570398931</v>
      </c>
      <c r="DO15" s="161">
        <f t="shared" si="87"/>
        <v>108662.84570398931</v>
      </c>
      <c r="DP15" s="161">
        <f t="shared" si="87"/>
        <v>108662.84570398931</v>
      </c>
      <c r="DQ15" s="161">
        <f t="shared" si="87"/>
        <v>108662.84570398931</v>
      </c>
      <c r="DR15" s="161">
        <f t="shared" si="87"/>
        <v>108662.84570398931</v>
      </c>
      <c r="DS15" s="161">
        <f t="shared" si="87"/>
        <v>108662.84570398931</v>
      </c>
      <c r="DT15" s="161">
        <f t="shared" si="87"/>
        <v>108662.84570398931</v>
      </c>
      <c r="DU15" s="161">
        <f t="shared" ref="DU15:EZ15" si="88">SUMIF($B$7:$B$14, "o", DU7:DU14)</f>
        <v>109652.24993214887</v>
      </c>
      <c r="DV15" s="161">
        <f t="shared" si="88"/>
        <v>109652.24993214887</v>
      </c>
      <c r="DW15" s="161">
        <f t="shared" si="88"/>
        <v>109652.24993214887</v>
      </c>
      <c r="DX15" s="161">
        <f t="shared" si="88"/>
        <v>109652.24993214887</v>
      </c>
      <c r="DY15" s="161">
        <f t="shared" si="88"/>
        <v>109652.24993214887</v>
      </c>
      <c r="DZ15" s="161">
        <f t="shared" si="88"/>
        <v>109652.24993214887</v>
      </c>
      <c r="EA15" s="161">
        <f t="shared" si="88"/>
        <v>109652.24993214887</v>
      </c>
      <c r="EB15" s="161">
        <f t="shared" si="88"/>
        <v>109652.24993214887</v>
      </c>
      <c r="EC15" s="161">
        <f t="shared" si="88"/>
        <v>109652.24993214887</v>
      </c>
      <c r="ED15" s="161">
        <f t="shared" si="88"/>
        <v>109652.24993214887</v>
      </c>
      <c r="EE15" s="161">
        <f t="shared" si="88"/>
        <v>109652.24993214887</v>
      </c>
      <c r="EF15" s="161">
        <f t="shared" si="88"/>
        <v>109652.24993214887</v>
      </c>
      <c r="EG15" s="161">
        <f t="shared" si="88"/>
        <v>109652.24993214887</v>
      </c>
      <c r="EH15" s="161">
        <f t="shared" si="88"/>
        <v>109652.24993214887</v>
      </c>
      <c r="EI15" s="161">
        <f t="shared" si="88"/>
        <v>109652.24993214887</v>
      </c>
      <c r="EJ15" s="161">
        <f t="shared" si="88"/>
        <v>109652.24993214887</v>
      </c>
      <c r="EK15" s="161">
        <f t="shared" si="88"/>
        <v>109652.24993214887</v>
      </c>
      <c r="EL15" s="161">
        <f t="shared" si="88"/>
        <v>109652.24993214887</v>
      </c>
      <c r="EM15" s="161">
        <f t="shared" si="88"/>
        <v>109652.24993214887</v>
      </c>
      <c r="EN15" s="161">
        <f t="shared" si="88"/>
        <v>109652.24993214887</v>
      </c>
      <c r="EO15" s="161">
        <f t="shared" si="88"/>
        <v>109652.24993214887</v>
      </c>
      <c r="EP15" s="161">
        <f t="shared" si="88"/>
        <v>109652.24993214887</v>
      </c>
      <c r="EQ15" s="161">
        <f t="shared" si="88"/>
        <v>109652.24993214887</v>
      </c>
      <c r="ER15" s="161">
        <f t="shared" si="88"/>
        <v>109652.24993214887</v>
      </c>
      <c r="ES15" s="161">
        <f t="shared" si="88"/>
        <v>0</v>
      </c>
      <c r="ET15" s="161">
        <f t="shared" si="88"/>
        <v>0</v>
      </c>
      <c r="EU15" s="161">
        <f t="shared" si="88"/>
        <v>0</v>
      </c>
      <c r="EV15" s="161">
        <f t="shared" si="88"/>
        <v>0</v>
      </c>
      <c r="EW15" s="161">
        <f t="shared" si="88"/>
        <v>0</v>
      </c>
      <c r="EX15" s="161">
        <f t="shared" si="88"/>
        <v>0</v>
      </c>
      <c r="EY15" s="161">
        <f t="shared" si="88"/>
        <v>0</v>
      </c>
      <c r="EZ15" s="161">
        <f t="shared" si="88"/>
        <v>0</v>
      </c>
      <c r="FA15" s="161">
        <f t="shared" ref="FA15:FD15" si="89">SUMIF($B$7:$B$14, "o", FA7:FA14)</f>
        <v>0</v>
      </c>
      <c r="FB15" s="161">
        <f t="shared" si="89"/>
        <v>0</v>
      </c>
      <c r="FC15" s="161">
        <f t="shared" si="89"/>
        <v>0</v>
      </c>
      <c r="FD15" s="161">
        <f t="shared" si="89"/>
        <v>0</v>
      </c>
    </row>
    <row r="16" spans="1:160" s="38" customFormat="1" x14ac:dyDescent="0.3">
      <c r="D16" s="38" t="s">
        <v>236</v>
      </c>
      <c r="AB16" s="160"/>
      <c r="AC16" s="161">
        <f>$AC$32/12</f>
        <v>1833.3333333333333</v>
      </c>
      <c r="AD16" s="161">
        <f t="shared" ref="AD16:CO16" si="90">$AC$32/12</f>
        <v>1833.3333333333333</v>
      </c>
      <c r="AE16" s="161">
        <f t="shared" si="90"/>
        <v>1833.3333333333333</v>
      </c>
      <c r="AF16" s="161">
        <f t="shared" si="90"/>
        <v>1833.3333333333333</v>
      </c>
      <c r="AG16" s="161">
        <f t="shared" si="90"/>
        <v>1833.3333333333333</v>
      </c>
      <c r="AH16" s="161">
        <f t="shared" si="90"/>
        <v>1833.3333333333333</v>
      </c>
      <c r="AI16" s="161">
        <f t="shared" si="90"/>
        <v>1833.3333333333333</v>
      </c>
      <c r="AJ16" s="161">
        <f t="shared" si="90"/>
        <v>1833.3333333333333</v>
      </c>
      <c r="AK16" s="161">
        <f t="shared" si="90"/>
        <v>1833.3333333333333</v>
      </c>
      <c r="AL16" s="161">
        <f t="shared" si="90"/>
        <v>1833.3333333333333</v>
      </c>
      <c r="AM16" s="161">
        <f t="shared" si="90"/>
        <v>1833.3333333333333</v>
      </c>
      <c r="AN16" s="230">
        <f t="shared" si="90"/>
        <v>1833.3333333333333</v>
      </c>
      <c r="AO16" s="161">
        <f t="shared" si="90"/>
        <v>1833.3333333333333</v>
      </c>
      <c r="AP16" s="161">
        <f t="shared" si="90"/>
        <v>1833.3333333333333</v>
      </c>
      <c r="AQ16" s="161">
        <f t="shared" si="90"/>
        <v>1833.3333333333333</v>
      </c>
      <c r="AR16" s="161">
        <f t="shared" si="90"/>
        <v>1833.3333333333333</v>
      </c>
      <c r="AS16" s="161">
        <f t="shared" si="90"/>
        <v>1833.3333333333333</v>
      </c>
      <c r="AT16" s="161">
        <f t="shared" si="90"/>
        <v>1833.3333333333333</v>
      </c>
      <c r="AU16" s="161">
        <f t="shared" si="90"/>
        <v>1833.3333333333333</v>
      </c>
      <c r="AV16" s="161">
        <f t="shared" si="90"/>
        <v>1833.3333333333333</v>
      </c>
      <c r="AW16" s="161">
        <f t="shared" si="90"/>
        <v>1833.3333333333333</v>
      </c>
      <c r="AX16" s="161">
        <f t="shared" si="90"/>
        <v>1833.3333333333333</v>
      </c>
      <c r="AY16" s="161">
        <f t="shared" si="90"/>
        <v>1833.3333333333333</v>
      </c>
      <c r="AZ16" s="161">
        <f t="shared" si="90"/>
        <v>1833.3333333333333</v>
      </c>
      <c r="BA16" s="161">
        <f t="shared" si="90"/>
        <v>1833.3333333333333</v>
      </c>
      <c r="BB16" s="161">
        <f t="shared" si="90"/>
        <v>1833.3333333333333</v>
      </c>
      <c r="BC16" s="161">
        <f t="shared" si="90"/>
        <v>1833.3333333333333</v>
      </c>
      <c r="BD16" s="161">
        <f t="shared" si="90"/>
        <v>1833.3333333333333</v>
      </c>
      <c r="BE16" s="161">
        <f t="shared" si="90"/>
        <v>1833.3333333333333</v>
      </c>
      <c r="BF16" s="161">
        <f t="shared" si="90"/>
        <v>1833.3333333333333</v>
      </c>
      <c r="BG16" s="161">
        <f t="shared" si="90"/>
        <v>1833.3333333333333</v>
      </c>
      <c r="BH16" s="161">
        <f t="shared" si="90"/>
        <v>1833.3333333333333</v>
      </c>
      <c r="BI16" s="161">
        <f t="shared" si="90"/>
        <v>1833.3333333333333</v>
      </c>
      <c r="BJ16" s="161">
        <f t="shared" si="90"/>
        <v>1833.3333333333333</v>
      </c>
      <c r="BK16" s="161">
        <f t="shared" si="90"/>
        <v>1833.3333333333333</v>
      </c>
      <c r="BL16" s="161">
        <f t="shared" si="90"/>
        <v>1833.3333333333333</v>
      </c>
      <c r="BM16" s="161">
        <f t="shared" si="90"/>
        <v>1833.3333333333333</v>
      </c>
      <c r="BN16" s="161">
        <f t="shared" si="90"/>
        <v>1833.3333333333333</v>
      </c>
      <c r="BO16" s="161">
        <f t="shared" si="90"/>
        <v>1833.3333333333333</v>
      </c>
      <c r="BP16" s="161">
        <f t="shared" si="90"/>
        <v>1833.3333333333333</v>
      </c>
      <c r="BQ16" s="161">
        <f t="shared" si="90"/>
        <v>1833.3333333333333</v>
      </c>
      <c r="BR16" s="161">
        <f t="shared" si="90"/>
        <v>1833.3333333333333</v>
      </c>
      <c r="BS16" s="161">
        <f t="shared" si="90"/>
        <v>1833.3333333333333</v>
      </c>
      <c r="BT16" s="161">
        <f t="shared" si="90"/>
        <v>1833.3333333333333</v>
      </c>
      <c r="BU16" s="161">
        <f t="shared" si="90"/>
        <v>1833.3333333333333</v>
      </c>
      <c r="BV16" s="161">
        <f t="shared" si="90"/>
        <v>1833.3333333333333</v>
      </c>
      <c r="BW16" s="161">
        <f t="shared" si="90"/>
        <v>1833.3333333333333</v>
      </c>
      <c r="BX16" s="161">
        <f t="shared" si="90"/>
        <v>1833.3333333333333</v>
      </c>
      <c r="BY16" s="161">
        <f t="shared" si="90"/>
        <v>1833.3333333333333</v>
      </c>
      <c r="BZ16" s="161">
        <f t="shared" si="90"/>
        <v>1833.3333333333333</v>
      </c>
      <c r="CA16" s="161">
        <f t="shared" si="90"/>
        <v>1833.3333333333333</v>
      </c>
      <c r="CB16" s="161">
        <f t="shared" si="90"/>
        <v>1833.3333333333333</v>
      </c>
      <c r="CC16" s="161">
        <f t="shared" si="90"/>
        <v>1833.3333333333333</v>
      </c>
      <c r="CD16" s="161">
        <f t="shared" si="90"/>
        <v>1833.3333333333333</v>
      </c>
      <c r="CE16" s="161">
        <f t="shared" si="90"/>
        <v>1833.3333333333333</v>
      </c>
      <c r="CF16" s="161">
        <f t="shared" si="90"/>
        <v>1833.3333333333333</v>
      </c>
      <c r="CG16" s="161">
        <f t="shared" si="90"/>
        <v>1833.3333333333333</v>
      </c>
      <c r="CH16" s="161">
        <f t="shared" si="90"/>
        <v>1833.3333333333333</v>
      </c>
      <c r="CI16" s="161">
        <f t="shared" si="90"/>
        <v>1833.3333333333333</v>
      </c>
      <c r="CJ16" s="161">
        <f t="shared" si="90"/>
        <v>1833.3333333333333</v>
      </c>
      <c r="CK16" s="161">
        <f t="shared" si="90"/>
        <v>1833.3333333333333</v>
      </c>
      <c r="CL16" s="161">
        <f t="shared" si="90"/>
        <v>1833.3333333333333</v>
      </c>
      <c r="CM16" s="161">
        <f t="shared" si="90"/>
        <v>1833.3333333333333</v>
      </c>
      <c r="CN16" s="161">
        <f t="shared" si="90"/>
        <v>1833.3333333333333</v>
      </c>
      <c r="CO16" s="161">
        <f t="shared" si="90"/>
        <v>1833.3333333333333</v>
      </c>
      <c r="CP16" s="161">
        <f t="shared" ref="CP16:ER16" si="91">$AC$32/12</f>
        <v>1833.3333333333333</v>
      </c>
      <c r="CQ16" s="161">
        <f t="shared" si="91"/>
        <v>1833.3333333333333</v>
      </c>
      <c r="CR16" s="161">
        <f t="shared" si="91"/>
        <v>1833.3333333333333</v>
      </c>
      <c r="CS16" s="161">
        <f t="shared" si="91"/>
        <v>1833.3333333333333</v>
      </c>
      <c r="CT16" s="161">
        <f t="shared" si="91"/>
        <v>1833.3333333333333</v>
      </c>
      <c r="CU16" s="161">
        <f t="shared" si="91"/>
        <v>1833.3333333333333</v>
      </c>
      <c r="CV16" s="161">
        <f t="shared" si="91"/>
        <v>1833.3333333333333</v>
      </c>
      <c r="CW16" s="161">
        <f t="shared" si="91"/>
        <v>1833.3333333333333</v>
      </c>
      <c r="CX16" s="161">
        <f t="shared" si="91"/>
        <v>1833.3333333333333</v>
      </c>
      <c r="CY16" s="161">
        <f t="shared" si="91"/>
        <v>1833.3333333333333</v>
      </c>
      <c r="CZ16" s="161">
        <f t="shared" si="91"/>
        <v>1833.3333333333333</v>
      </c>
      <c r="DA16" s="161">
        <f t="shared" si="91"/>
        <v>1833.3333333333333</v>
      </c>
      <c r="DB16" s="161">
        <f t="shared" si="91"/>
        <v>1833.3333333333333</v>
      </c>
      <c r="DC16" s="161">
        <f t="shared" si="91"/>
        <v>1833.3333333333333</v>
      </c>
      <c r="DD16" s="161">
        <f t="shared" si="91"/>
        <v>1833.3333333333333</v>
      </c>
      <c r="DE16" s="161">
        <f t="shared" si="91"/>
        <v>1833.3333333333333</v>
      </c>
      <c r="DF16" s="161">
        <f t="shared" si="91"/>
        <v>1833.3333333333333</v>
      </c>
      <c r="DG16" s="161">
        <f t="shared" si="91"/>
        <v>1833.3333333333333</v>
      </c>
      <c r="DH16" s="161">
        <f t="shared" si="91"/>
        <v>1833.3333333333333</v>
      </c>
      <c r="DI16" s="161">
        <f t="shared" si="91"/>
        <v>1833.3333333333333</v>
      </c>
      <c r="DJ16" s="161">
        <f t="shared" si="91"/>
        <v>1833.3333333333333</v>
      </c>
      <c r="DK16" s="161">
        <f t="shared" si="91"/>
        <v>1833.3333333333333</v>
      </c>
      <c r="DL16" s="161">
        <f t="shared" si="91"/>
        <v>1833.3333333333333</v>
      </c>
      <c r="DM16" s="161">
        <f t="shared" si="91"/>
        <v>1833.3333333333333</v>
      </c>
      <c r="DN16" s="161">
        <f t="shared" si="91"/>
        <v>1833.3333333333333</v>
      </c>
      <c r="DO16" s="161">
        <f t="shared" si="91"/>
        <v>1833.3333333333333</v>
      </c>
      <c r="DP16" s="161">
        <f t="shared" si="91"/>
        <v>1833.3333333333333</v>
      </c>
      <c r="DQ16" s="161">
        <f t="shared" si="91"/>
        <v>1833.3333333333333</v>
      </c>
      <c r="DR16" s="161">
        <f t="shared" si="91"/>
        <v>1833.3333333333333</v>
      </c>
      <c r="DS16" s="161">
        <f t="shared" si="91"/>
        <v>1833.3333333333333</v>
      </c>
      <c r="DT16" s="161">
        <f t="shared" si="91"/>
        <v>1833.3333333333333</v>
      </c>
      <c r="DU16" s="161">
        <f t="shared" si="91"/>
        <v>1833.3333333333333</v>
      </c>
      <c r="DV16" s="161">
        <f t="shared" si="91"/>
        <v>1833.3333333333333</v>
      </c>
      <c r="DW16" s="161">
        <f t="shared" si="91"/>
        <v>1833.3333333333333</v>
      </c>
      <c r="DX16" s="161">
        <f t="shared" si="91"/>
        <v>1833.3333333333333</v>
      </c>
      <c r="DY16" s="161">
        <f t="shared" si="91"/>
        <v>1833.3333333333333</v>
      </c>
      <c r="DZ16" s="161">
        <f t="shared" si="91"/>
        <v>1833.3333333333333</v>
      </c>
      <c r="EA16" s="161">
        <f t="shared" si="91"/>
        <v>1833.3333333333333</v>
      </c>
      <c r="EB16" s="161">
        <f t="shared" si="91"/>
        <v>1833.3333333333333</v>
      </c>
      <c r="EC16" s="161">
        <f t="shared" si="91"/>
        <v>1833.3333333333333</v>
      </c>
      <c r="ED16" s="161">
        <f t="shared" si="91"/>
        <v>1833.3333333333333</v>
      </c>
      <c r="EE16" s="161">
        <f t="shared" si="91"/>
        <v>1833.3333333333333</v>
      </c>
      <c r="EF16" s="161">
        <f t="shared" si="91"/>
        <v>1833.3333333333333</v>
      </c>
      <c r="EG16" s="161">
        <f t="shared" si="91"/>
        <v>1833.3333333333333</v>
      </c>
      <c r="EH16" s="161">
        <f t="shared" si="91"/>
        <v>1833.3333333333333</v>
      </c>
      <c r="EI16" s="161">
        <f t="shared" si="91"/>
        <v>1833.3333333333333</v>
      </c>
      <c r="EJ16" s="161">
        <f t="shared" si="91"/>
        <v>1833.3333333333333</v>
      </c>
      <c r="EK16" s="161">
        <f t="shared" si="91"/>
        <v>1833.3333333333333</v>
      </c>
      <c r="EL16" s="161">
        <f t="shared" si="91"/>
        <v>1833.3333333333333</v>
      </c>
      <c r="EM16" s="161">
        <f t="shared" si="91"/>
        <v>1833.3333333333333</v>
      </c>
      <c r="EN16" s="161">
        <f t="shared" si="91"/>
        <v>1833.3333333333333</v>
      </c>
      <c r="EO16" s="161">
        <f t="shared" si="91"/>
        <v>1833.3333333333333</v>
      </c>
      <c r="EP16" s="161">
        <f t="shared" si="91"/>
        <v>1833.3333333333333</v>
      </c>
      <c r="EQ16" s="161">
        <f t="shared" si="91"/>
        <v>1833.3333333333333</v>
      </c>
      <c r="ER16" s="161">
        <f t="shared" si="91"/>
        <v>1833.3333333333333</v>
      </c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</row>
    <row r="17" spans="1:162" s="6" customFormat="1" x14ac:dyDescent="0.3">
      <c r="C17" s="6" t="s">
        <v>139</v>
      </c>
      <c r="K17"/>
      <c r="AB17" s="94"/>
      <c r="AC17" s="102">
        <f>SUM(AC15:AC16)</f>
        <v>102030.08333333333</v>
      </c>
      <c r="AD17" s="102">
        <f t="shared" ref="AD17:CO17" si="92">SUM(AD15:AD16)</f>
        <v>102030.08333333333</v>
      </c>
      <c r="AE17" s="102">
        <f t="shared" si="92"/>
        <v>102030.08333333333</v>
      </c>
      <c r="AF17" s="102">
        <f t="shared" si="92"/>
        <v>102030.08333333333</v>
      </c>
      <c r="AG17" s="102">
        <f t="shared" si="92"/>
        <v>102030.08333333333</v>
      </c>
      <c r="AH17" s="102">
        <f t="shared" si="92"/>
        <v>102030.08333333333</v>
      </c>
      <c r="AI17" s="102">
        <f t="shared" si="92"/>
        <v>102030.08333333333</v>
      </c>
      <c r="AJ17" s="102">
        <f t="shared" si="92"/>
        <v>102030.08333333333</v>
      </c>
      <c r="AK17" s="102">
        <f t="shared" si="92"/>
        <v>102030.08333333333</v>
      </c>
      <c r="AL17" s="102">
        <f t="shared" si="92"/>
        <v>102030.08333333333</v>
      </c>
      <c r="AM17" s="102">
        <f t="shared" si="92"/>
        <v>102030.08333333333</v>
      </c>
      <c r="AN17" s="231">
        <f t="shared" si="92"/>
        <v>102030.08333333333</v>
      </c>
      <c r="AO17" s="102">
        <f t="shared" si="92"/>
        <v>102299.93</v>
      </c>
      <c r="AP17" s="102">
        <f t="shared" si="92"/>
        <v>102299.93</v>
      </c>
      <c r="AQ17" s="102">
        <f t="shared" si="92"/>
        <v>102299.93</v>
      </c>
      <c r="AR17" s="102">
        <f t="shared" si="92"/>
        <v>102299.93</v>
      </c>
      <c r="AS17" s="102">
        <f t="shared" si="92"/>
        <v>102299.93</v>
      </c>
      <c r="AT17" s="102">
        <f t="shared" si="92"/>
        <v>102299.93</v>
      </c>
      <c r="AU17" s="102">
        <f t="shared" si="92"/>
        <v>102299.93</v>
      </c>
      <c r="AV17" s="102">
        <f t="shared" si="92"/>
        <v>102299.93</v>
      </c>
      <c r="AW17" s="102">
        <f t="shared" si="92"/>
        <v>102299.93</v>
      </c>
      <c r="AX17" s="102">
        <f t="shared" si="92"/>
        <v>102299.93</v>
      </c>
      <c r="AY17" s="102">
        <f t="shared" si="92"/>
        <v>102299.93</v>
      </c>
      <c r="AZ17" s="102">
        <f t="shared" si="92"/>
        <v>102299.93</v>
      </c>
      <c r="BA17" s="102">
        <f t="shared" si="92"/>
        <v>103081.87053333333</v>
      </c>
      <c r="BB17" s="102">
        <f t="shared" si="92"/>
        <v>103081.87053333333</v>
      </c>
      <c r="BC17" s="102">
        <f t="shared" si="92"/>
        <v>103081.87053333333</v>
      </c>
      <c r="BD17" s="102">
        <f t="shared" si="92"/>
        <v>103081.87053333333</v>
      </c>
      <c r="BE17" s="102">
        <f t="shared" si="92"/>
        <v>103081.87053333333</v>
      </c>
      <c r="BF17" s="102">
        <f t="shared" si="92"/>
        <v>103081.87053333333</v>
      </c>
      <c r="BG17" s="102">
        <f t="shared" si="92"/>
        <v>103081.87053333333</v>
      </c>
      <c r="BH17" s="102">
        <f t="shared" si="92"/>
        <v>103081.87053333333</v>
      </c>
      <c r="BI17" s="102">
        <f t="shared" si="92"/>
        <v>103081.87053333333</v>
      </c>
      <c r="BJ17" s="102">
        <f t="shared" si="92"/>
        <v>103081.87053333333</v>
      </c>
      <c r="BK17" s="102">
        <f t="shared" si="92"/>
        <v>103081.87053333333</v>
      </c>
      <c r="BL17" s="102">
        <f t="shared" si="92"/>
        <v>103081.87053333333</v>
      </c>
      <c r="BM17" s="102">
        <f t="shared" si="92"/>
        <v>103895.08868799999</v>
      </c>
      <c r="BN17" s="102">
        <f t="shared" si="92"/>
        <v>103895.08868799999</v>
      </c>
      <c r="BO17" s="102">
        <f t="shared" si="92"/>
        <v>103895.08868799999</v>
      </c>
      <c r="BP17" s="102">
        <f t="shared" si="92"/>
        <v>103895.08868799999</v>
      </c>
      <c r="BQ17" s="102">
        <f t="shared" si="92"/>
        <v>103895.08868799999</v>
      </c>
      <c r="BR17" s="102">
        <f t="shared" si="92"/>
        <v>103895.08868799999</v>
      </c>
      <c r="BS17" s="102">
        <f t="shared" si="92"/>
        <v>103895.08868799999</v>
      </c>
      <c r="BT17" s="102">
        <f t="shared" si="92"/>
        <v>103895.08868799999</v>
      </c>
      <c r="BU17" s="102">
        <f t="shared" si="92"/>
        <v>103895.08868799999</v>
      </c>
      <c r="BV17" s="102">
        <f t="shared" si="92"/>
        <v>103895.08868799999</v>
      </c>
      <c r="BW17" s="102">
        <f t="shared" si="92"/>
        <v>103895.08868799999</v>
      </c>
      <c r="BX17" s="102">
        <f t="shared" si="92"/>
        <v>103895.08868799999</v>
      </c>
      <c r="BY17" s="102">
        <f t="shared" si="92"/>
        <v>106750.16890218666</v>
      </c>
      <c r="BZ17" s="102">
        <f t="shared" si="92"/>
        <v>106750.16890218666</v>
      </c>
      <c r="CA17" s="102">
        <f t="shared" si="92"/>
        <v>106750.16890218666</v>
      </c>
      <c r="CB17" s="102">
        <f t="shared" si="92"/>
        <v>106750.16890218666</v>
      </c>
      <c r="CC17" s="102">
        <f t="shared" si="92"/>
        <v>106750.16890218666</v>
      </c>
      <c r="CD17" s="102">
        <f t="shared" si="92"/>
        <v>106750.16890218666</v>
      </c>
      <c r="CE17" s="102">
        <f t="shared" si="92"/>
        <v>106750.16890218666</v>
      </c>
      <c r="CF17" s="102">
        <f t="shared" si="92"/>
        <v>106750.16890218666</v>
      </c>
      <c r="CG17" s="102">
        <f t="shared" si="92"/>
        <v>106750.16890218666</v>
      </c>
      <c r="CH17" s="102">
        <f t="shared" si="92"/>
        <v>106750.16890218666</v>
      </c>
      <c r="CI17" s="102">
        <f t="shared" si="92"/>
        <v>106750.16890218666</v>
      </c>
      <c r="CJ17" s="102">
        <f t="shared" si="92"/>
        <v>106750.16890218666</v>
      </c>
      <c r="CK17" s="102">
        <f t="shared" si="92"/>
        <v>108630.06899160746</v>
      </c>
      <c r="CL17" s="102">
        <f t="shared" si="92"/>
        <v>108630.06899160746</v>
      </c>
      <c r="CM17" s="102">
        <f t="shared" si="92"/>
        <v>108630.06899160746</v>
      </c>
      <c r="CN17" s="102">
        <f t="shared" si="92"/>
        <v>108630.06899160746</v>
      </c>
      <c r="CO17" s="102">
        <f t="shared" si="92"/>
        <v>108630.06899160746</v>
      </c>
      <c r="CP17" s="102">
        <f t="shared" ref="CP17:FA17" si="93">SUM(CP15:CP16)</f>
        <v>108630.06899160746</v>
      </c>
      <c r="CQ17" s="102">
        <f t="shared" si="93"/>
        <v>108630.06899160746</v>
      </c>
      <c r="CR17" s="102">
        <f t="shared" si="93"/>
        <v>108630.06899160746</v>
      </c>
      <c r="CS17" s="102">
        <f t="shared" si="93"/>
        <v>108630.06899160746</v>
      </c>
      <c r="CT17" s="102">
        <f t="shared" si="93"/>
        <v>108630.06899160746</v>
      </c>
      <c r="CU17" s="102">
        <f t="shared" si="93"/>
        <v>108630.06899160746</v>
      </c>
      <c r="CV17" s="102">
        <f t="shared" si="93"/>
        <v>108630.06899160746</v>
      </c>
      <c r="CW17" s="102">
        <f t="shared" si="93"/>
        <v>109544.82881793843</v>
      </c>
      <c r="CX17" s="102">
        <f t="shared" si="93"/>
        <v>109544.82881793843</v>
      </c>
      <c r="CY17" s="102">
        <f t="shared" si="93"/>
        <v>109544.82881793843</v>
      </c>
      <c r="CZ17" s="102">
        <f t="shared" si="93"/>
        <v>109544.82881793843</v>
      </c>
      <c r="DA17" s="102">
        <f t="shared" si="93"/>
        <v>109544.82881793843</v>
      </c>
      <c r="DB17" s="102">
        <f t="shared" si="93"/>
        <v>109544.82881793843</v>
      </c>
      <c r="DC17" s="102">
        <f t="shared" si="93"/>
        <v>109544.82881793843</v>
      </c>
      <c r="DD17" s="102">
        <f t="shared" si="93"/>
        <v>109544.82881793843</v>
      </c>
      <c r="DE17" s="102">
        <f t="shared" si="93"/>
        <v>109544.82881793843</v>
      </c>
      <c r="DF17" s="102">
        <f t="shared" si="93"/>
        <v>109544.82881793843</v>
      </c>
      <c r="DG17" s="102">
        <f t="shared" si="93"/>
        <v>109544.82881793843</v>
      </c>
      <c r="DH17" s="102">
        <f t="shared" si="93"/>
        <v>109544.82881793843</v>
      </c>
      <c r="DI17" s="102">
        <f t="shared" si="93"/>
        <v>110496.17903732264</v>
      </c>
      <c r="DJ17" s="102">
        <f t="shared" si="93"/>
        <v>110496.17903732264</v>
      </c>
      <c r="DK17" s="102">
        <f t="shared" si="93"/>
        <v>110496.17903732264</v>
      </c>
      <c r="DL17" s="102">
        <f t="shared" si="93"/>
        <v>110496.17903732264</v>
      </c>
      <c r="DM17" s="102">
        <f t="shared" si="93"/>
        <v>110496.17903732264</v>
      </c>
      <c r="DN17" s="102">
        <f t="shared" si="93"/>
        <v>110496.17903732264</v>
      </c>
      <c r="DO17" s="102">
        <f t="shared" si="93"/>
        <v>110496.17903732264</v>
      </c>
      <c r="DP17" s="102">
        <f t="shared" si="93"/>
        <v>110496.17903732264</v>
      </c>
      <c r="DQ17" s="102">
        <f t="shared" si="93"/>
        <v>110496.17903732264</v>
      </c>
      <c r="DR17" s="102">
        <f t="shared" si="93"/>
        <v>110496.17903732264</v>
      </c>
      <c r="DS17" s="102">
        <f t="shared" si="93"/>
        <v>110496.17903732264</v>
      </c>
      <c r="DT17" s="102">
        <f t="shared" si="93"/>
        <v>110496.17903732264</v>
      </c>
      <c r="DU17" s="102">
        <f t="shared" si="93"/>
        <v>111485.5832654822</v>
      </c>
      <c r="DV17" s="102">
        <f t="shared" si="93"/>
        <v>111485.5832654822</v>
      </c>
      <c r="DW17" s="102">
        <f t="shared" si="93"/>
        <v>111485.5832654822</v>
      </c>
      <c r="DX17" s="102">
        <f t="shared" si="93"/>
        <v>111485.5832654822</v>
      </c>
      <c r="DY17" s="102">
        <f t="shared" si="93"/>
        <v>111485.5832654822</v>
      </c>
      <c r="DZ17" s="102">
        <f t="shared" si="93"/>
        <v>111485.5832654822</v>
      </c>
      <c r="EA17" s="102">
        <f t="shared" si="93"/>
        <v>111485.5832654822</v>
      </c>
      <c r="EB17" s="102">
        <f t="shared" si="93"/>
        <v>111485.5832654822</v>
      </c>
      <c r="EC17" s="102">
        <f t="shared" si="93"/>
        <v>111485.5832654822</v>
      </c>
      <c r="ED17" s="102">
        <f t="shared" si="93"/>
        <v>111485.5832654822</v>
      </c>
      <c r="EE17" s="102">
        <f t="shared" si="93"/>
        <v>111485.5832654822</v>
      </c>
      <c r="EF17" s="102">
        <f t="shared" si="93"/>
        <v>111485.5832654822</v>
      </c>
      <c r="EG17" s="102">
        <f t="shared" si="93"/>
        <v>111485.5832654822</v>
      </c>
      <c r="EH17" s="102">
        <f t="shared" si="93"/>
        <v>111485.5832654822</v>
      </c>
      <c r="EI17" s="102">
        <f t="shared" si="93"/>
        <v>111485.5832654822</v>
      </c>
      <c r="EJ17" s="102">
        <f t="shared" si="93"/>
        <v>111485.5832654822</v>
      </c>
      <c r="EK17" s="102">
        <f t="shared" si="93"/>
        <v>111485.5832654822</v>
      </c>
      <c r="EL17" s="102">
        <f t="shared" si="93"/>
        <v>111485.5832654822</v>
      </c>
      <c r="EM17" s="102">
        <f t="shared" si="93"/>
        <v>111485.5832654822</v>
      </c>
      <c r="EN17" s="102">
        <f t="shared" si="93"/>
        <v>111485.5832654822</v>
      </c>
      <c r="EO17" s="102">
        <f t="shared" si="93"/>
        <v>111485.5832654822</v>
      </c>
      <c r="EP17" s="102">
        <f t="shared" si="93"/>
        <v>111485.5832654822</v>
      </c>
      <c r="EQ17" s="102">
        <f t="shared" si="93"/>
        <v>111485.5832654822</v>
      </c>
      <c r="ER17" s="102">
        <f t="shared" si="93"/>
        <v>111485.5832654822</v>
      </c>
      <c r="ES17" s="102">
        <f t="shared" si="93"/>
        <v>0</v>
      </c>
      <c r="ET17" s="102">
        <f t="shared" si="93"/>
        <v>0</v>
      </c>
      <c r="EU17" s="102">
        <f t="shared" si="93"/>
        <v>0</v>
      </c>
      <c r="EV17" s="102">
        <f t="shared" si="93"/>
        <v>0</v>
      </c>
      <c r="EW17" s="102">
        <f t="shared" si="93"/>
        <v>0</v>
      </c>
      <c r="EX17" s="102">
        <f t="shared" si="93"/>
        <v>0</v>
      </c>
      <c r="EY17" s="102">
        <f t="shared" si="93"/>
        <v>0</v>
      </c>
      <c r="EZ17" s="102">
        <f t="shared" si="93"/>
        <v>0</v>
      </c>
      <c r="FA17" s="102">
        <f t="shared" si="93"/>
        <v>0</v>
      </c>
      <c r="FB17" s="102">
        <f t="shared" ref="FB17:FD17" si="94">SUM(FB15:FB16)</f>
        <v>0</v>
      </c>
      <c r="FC17" s="102">
        <f t="shared" si="94"/>
        <v>0</v>
      </c>
      <c r="FD17" s="102">
        <f t="shared" si="94"/>
        <v>0</v>
      </c>
    </row>
    <row r="18" spans="1:162" s="1" customFormat="1" x14ac:dyDescent="0.3">
      <c r="AB18" s="11"/>
      <c r="AC18" s="21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1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1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1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1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1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1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1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1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1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</row>
    <row r="20" spans="1:162" x14ac:dyDescent="0.3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64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64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64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64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64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64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64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64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64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64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64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</row>
    <row r="22" spans="1:162" x14ac:dyDescent="0.3">
      <c r="C22" s="6" t="s">
        <v>141</v>
      </c>
      <c r="AC22" s="162" t="s">
        <v>142</v>
      </c>
      <c r="AD22" s="215" t="s">
        <v>143</v>
      </c>
      <c r="AE22" s="215" t="s">
        <v>144</v>
      </c>
      <c r="AF22" s="215" t="s">
        <v>145</v>
      </c>
      <c r="AG22" s="215" t="s">
        <v>146</v>
      </c>
      <c r="AH22" s="215" t="s">
        <v>147</v>
      </c>
      <c r="AI22" s="215" t="s">
        <v>148</v>
      </c>
      <c r="AJ22" s="215" t="s">
        <v>149</v>
      </c>
      <c r="AK22" s="215" t="s">
        <v>150</v>
      </c>
      <c r="AL22" s="215" t="s">
        <v>151</v>
      </c>
    </row>
    <row r="23" spans="1:162" x14ac:dyDescent="0.3">
      <c r="E23" s="76" t="s">
        <v>134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76" t="s">
        <v>152</v>
      </c>
      <c r="V23" s="217" t="s">
        <v>247</v>
      </c>
      <c r="W23" s="76" t="s">
        <v>153</v>
      </c>
      <c r="X23" s="76" t="s">
        <v>154</v>
      </c>
      <c r="AC23" s="163">
        <v>2022</v>
      </c>
      <c r="AD23" s="216">
        <v>2023</v>
      </c>
      <c r="AE23" s="216">
        <v>2024</v>
      </c>
      <c r="AF23" s="216">
        <v>2025</v>
      </c>
      <c r="AG23" s="216">
        <v>2026</v>
      </c>
      <c r="AH23" s="216">
        <v>2027</v>
      </c>
      <c r="AI23" s="216">
        <v>2028</v>
      </c>
      <c r="AJ23" s="216">
        <v>2029</v>
      </c>
      <c r="AK23" s="216">
        <v>2030</v>
      </c>
      <c r="AL23" s="216">
        <v>2031</v>
      </c>
    </row>
    <row r="24" spans="1:162" x14ac:dyDescent="0.3">
      <c r="E24" t="str">
        <f>E8</f>
        <v>Juvenile Court</v>
      </c>
      <c r="U24" s="225">
        <v>48183</v>
      </c>
      <c r="V24" s="247">
        <f>AC24/W24</f>
        <v>28.500019992802592</v>
      </c>
      <c r="W24" s="171">
        <v>25009</v>
      </c>
      <c r="X24" s="103"/>
      <c r="AC24" s="170">
        <v>712757</v>
      </c>
      <c r="AD24" s="170">
        <v>712757</v>
      </c>
      <c r="AE24" s="170">
        <v>712757</v>
      </c>
      <c r="AF24" s="170">
        <v>712757</v>
      </c>
      <c r="AG24" s="170">
        <v>712757</v>
      </c>
      <c r="AH24" s="170">
        <f>60396.74*12</f>
        <v>724760.88</v>
      </c>
      <c r="AI24" s="170">
        <f t="shared" ref="AI24:AL24" si="95">60396.74*12</f>
        <v>724760.88</v>
      </c>
      <c r="AJ24" s="170">
        <f t="shared" si="95"/>
        <v>724760.88</v>
      </c>
      <c r="AK24" s="170">
        <f t="shared" si="95"/>
        <v>724760.88</v>
      </c>
      <c r="AL24" s="170">
        <f t="shared" si="95"/>
        <v>724760.88</v>
      </c>
    </row>
    <row r="25" spans="1:162" x14ac:dyDescent="0.3">
      <c r="E25" s="76" t="s">
        <v>137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58"/>
      <c r="V25" s="247"/>
      <c r="W25" s="103"/>
      <c r="X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</row>
    <row r="26" spans="1:162" x14ac:dyDescent="0.3">
      <c r="E26" t="str">
        <f>E10</f>
        <v>Transitional Assistance - State</v>
      </c>
      <c r="U26" s="225">
        <v>47893</v>
      </c>
      <c r="V26" s="247">
        <f t="shared" ref="V26:V30" si="96">AC26/W26</f>
        <v>26.671486109676753</v>
      </c>
      <c r="W26" s="103">
        <v>9683</v>
      </c>
      <c r="X26" s="103">
        <v>0</v>
      </c>
      <c r="AC26" s="170">
        <v>258260</v>
      </c>
      <c r="AD26" s="170">
        <v>258260</v>
      </c>
      <c r="AE26" s="170">
        <v>258260</v>
      </c>
      <c r="AF26" s="170">
        <v>258260</v>
      </c>
      <c r="AG26" s="170">
        <f>23531*12</f>
        <v>282372</v>
      </c>
      <c r="AH26" s="170">
        <f t="shared" ref="AH26:AL26" si="97">23531*12</f>
        <v>282372</v>
      </c>
      <c r="AI26" s="170">
        <f t="shared" si="97"/>
        <v>282372</v>
      </c>
      <c r="AJ26" s="170">
        <f t="shared" si="97"/>
        <v>282372</v>
      </c>
      <c r="AK26" s="170">
        <f t="shared" si="97"/>
        <v>282372</v>
      </c>
      <c r="AL26" s="170">
        <f t="shared" si="97"/>
        <v>282372</v>
      </c>
    </row>
    <row r="27" spans="1:162" x14ac:dyDescent="0.3">
      <c r="E27" t="str">
        <f>E11</f>
        <v>Vacant</v>
      </c>
      <c r="V27" s="247"/>
      <c r="W27" s="103">
        <v>0</v>
      </c>
      <c r="X27" s="103">
        <v>3000</v>
      </c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</row>
    <row r="28" spans="1:162" x14ac:dyDescent="0.3">
      <c r="E28" s="76" t="s">
        <v>138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V28" s="247"/>
      <c r="W28" s="103"/>
      <c r="X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</row>
    <row r="29" spans="1:162" x14ac:dyDescent="0.3">
      <c r="E29" s="3" t="str">
        <f>E13</f>
        <v>Committee of Public Counsel - State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24">
        <v>45077</v>
      </c>
      <c r="V29" s="247">
        <f t="shared" si="96"/>
        <v>14.949953831948292</v>
      </c>
      <c r="W29" s="218">
        <v>5415</v>
      </c>
      <c r="X29" s="218">
        <v>0</v>
      </c>
      <c r="Y29" s="3"/>
      <c r="Z29" s="3"/>
      <c r="AA29" s="3"/>
      <c r="AC29" s="220">
        <v>80954</v>
      </c>
      <c r="AD29" s="220">
        <f>AC29*1.04</f>
        <v>84192.16</v>
      </c>
      <c r="AE29" s="218">
        <f t="shared" ref="AE29:AL29" si="98">AD29*1.04</f>
        <v>87559.846400000009</v>
      </c>
      <c r="AF29" s="218">
        <f t="shared" si="98"/>
        <v>91062.240256000019</v>
      </c>
      <c r="AG29" s="218">
        <f t="shared" si="98"/>
        <v>94704.729866240028</v>
      </c>
      <c r="AH29" s="218">
        <f t="shared" si="98"/>
        <v>98492.919060889632</v>
      </c>
      <c r="AI29" s="218">
        <f t="shared" si="98"/>
        <v>102432.63582332522</v>
      </c>
      <c r="AJ29" s="218">
        <f t="shared" si="98"/>
        <v>106529.94125625824</v>
      </c>
      <c r="AK29" s="218">
        <f t="shared" si="98"/>
        <v>110791.13890650858</v>
      </c>
      <c r="AL29" s="218">
        <f t="shared" si="98"/>
        <v>115222.78446276893</v>
      </c>
    </row>
    <row r="30" spans="1:162" x14ac:dyDescent="0.3">
      <c r="E30" s="3" t="str">
        <f>E14</f>
        <v>Berkshire Works - City</v>
      </c>
      <c r="F30" s="3"/>
      <c r="G30" s="3"/>
      <c r="H30" s="3"/>
      <c r="I30" s="3"/>
      <c r="J30" s="3"/>
      <c r="K30" s="83"/>
      <c r="L30" s="83"/>
      <c r="M30" s="83"/>
      <c r="N30" s="83"/>
      <c r="O30" s="83"/>
      <c r="P30" s="83"/>
      <c r="Q30" s="83"/>
      <c r="R30" s="83"/>
      <c r="S30" s="83"/>
      <c r="T30" s="219"/>
      <c r="U30" s="224">
        <v>45169</v>
      </c>
      <c r="V30" s="247">
        <f t="shared" si="96"/>
        <v>16.71</v>
      </c>
      <c r="W30" s="218">
        <v>9000</v>
      </c>
      <c r="X30" s="218"/>
      <c r="Y30" s="3"/>
      <c r="Z30" s="3"/>
      <c r="AA30" s="3"/>
      <c r="AC30" s="220">
        <v>150390</v>
      </c>
      <c r="AD30" s="220">
        <v>150390</v>
      </c>
      <c r="AE30" s="221">
        <f>AD30*1.04</f>
        <v>156405.6</v>
      </c>
      <c r="AF30" s="221">
        <f t="shared" ref="AF30:AL30" si="99">AE30*1.04</f>
        <v>162661.82400000002</v>
      </c>
      <c r="AG30" s="221">
        <f t="shared" si="99"/>
        <v>169168.29696000004</v>
      </c>
      <c r="AH30" s="221">
        <f t="shared" si="99"/>
        <v>175935.02883840003</v>
      </c>
      <c r="AI30" s="221">
        <f t="shared" si="99"/>
        <v>182972.42999193605</v>
      </c>
      <c r="AJ30" s="221">
        <f t="shared" si="99"/>
        <v>190291.3271916135</v>
      </c>
      <c r="AK30" s="221">
        <f t="shared" si="99"/>
        <v>197902.98027927804</v>
      </c>
      <c r="AL30" s="221">
        <f t="shared" si="99"/>
        <v>205819.09949044918</v>
      </c>
    </row>
    <row r="31" spans="1:162" x14ac:dyDescent="0.3">
      <c r="E31" s="76" t="s">
        <v>237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3"/>
      <c r="V31" s="219"/>
      <c r="W31" s="218"/>
      <c r="X31" s="218"/>
      <c r="Y31" s="3"/>
      <c r="Z31" s="3"/>
      <c r="AA31" s="3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</row>
    <row r="32" spans="1:162" x14ac:dyDescent="0.3">
      <c r="E32" s="1" t="s">
        <v>236</v>
      </c>
      <c r="F32" s="1"/>
      <c r="G32" s="1"/>
      <c r="H32" s="1"/>
      <c r="I32" s="1"/>
      <c r="J32" s="1"/>
      <c r="K32" s="49"/>
      <c r="L32" s="49"/>
      <c r="M32" s="49"/>
      <c r="N32" s="49"/>
      <c r="O32" s="49"/>
      <c r="P32" s="49"/>
      <c r="Q32" s="49"/>
      <c r="R32" s="49"/>
      <c r="S32" s="49"/>
      <c r="T32" s="159"/>
      <c r="U32" s="1"/>
      <c r="V32" s="159"/>
      <c r="W32" s="222" t="s">
        <v>238</v>
      </c>
      <c r="X32" s="100"/>
      <c r="Y32" s="1"/>
      <c r="Z32" s="1"/>
      <c r="AA32" s="1"/>
      <c r="AB32" s="11"/>
      <c r="AC32" s="172">
        <v>22000</v>
      </c>
      <c r="AD32" s="172">
        <v>22000</v>
      </c>
      <c r="AE32" s="172">
        <v>22000</v>
      </c>
      <c r="AF32" s="172">
        <v>22000</v>
      </c>
      <c r="AG32" s="172">
        <v>22000</v>
      </c>
      <c r="AH32" s="172">
        <v>22000</v>
      </c>
      <c r="AI32" s="172">
        <v>22000</v>
      </c>
      <c r="AJ32" s="172">
        <v>22000</v>
      </c>
      <c r="AK32" s="172">
        <v>22000</v>
      </c>
      <c r="AL32" s="172">
        <v>22000</v>
      </c>
    </row>
    <row r="33" spans="6:38" x14ac:dyDescent="0.3"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65"/>
      <c r="U33" s="165"/>
      <c r="V33" s="183" t="s">
        <v>155</v>
      </c>
      <c r="W33" s="187">
        <f>SUM(W24:W30)</f>
        <v>49107</v>
      </c>
      <c r="X33" s="187">
        <f>SUM(X24:X30)</f>
        <v>3000</v>
      </c>
      <c r="Y33" s="104"/>
      <c r="Z33" s="104"/>
      <c r="AA33" s="104"/>
      <c r="AB33" s="105"/>
      <c r="AC33" s="223">
        <f>SUM(AC24:AC32)</f>
        <v>1224361</v>
      </c>
      <c r="AD33" s="223">
        <f>SUM(AD24:AD32)</f>
        <v>1227599.1599999999</v>
      </c>
      <c r="AE33" s="223">
        <f t="shared" ref="AE33:AL33" si="100">SUM(AE24:AE32)</f>
        <v>1236982.4464</v>
      </c>
      <c r="AF33" s="223">
        <f t="shared" si="100"/>
        <v>1246741.0642560001</v>
      </c>
      <c r="AG33" s="223">
        <f t="shared" si="100"/>
        <v>1281002.0268262399</v>
      </c>
      <c r="AH33" s="223">
        <f t="shared" si="100"/>
        <v>1303560.8278992896</v>
      </c>
      <c r="AI33" s="223">
        <f t="shared" si="100"/>
        <v>1314537.9458152612</v>
      </c>
      <c r="AJ33" s="223">
        <f t="shared" si="100"/>
        <v>1325954.1484478717</v>
      </c>
      <c r="AK33" s="223">
        <f t="shared" si="100"/>
        <v>1337826.9991857866</v>
      </c>
      <c r="AL33" s="223">
        <f t="shared" si="100"/>
        <v>1350174.7639532182</v>
      </c>
    </row>
    <row r="34" spans="6:38" x14ac:dyDescent="0.3">
      <c r="V34" s="6" t="s">
        <v>156</v>
      </c>
      <c r="W34" s="188">
        <f>SUM(W33:X33)</f>
        <v>52107</v>
      </c>
    </row>
    <row r="35" spans="6:38" x14ac:dyDescent="0.3">
      <c r="V35" s="6" t="s">
        <v>157</v>
      </c>
      <c r="W35" s="189">
        <f>W33/(W33+X33)</f>
        <v>0.94242616155219072</v>
      </c>
    </row>
    <row r="36" spans="6:38" x14ac:dyDescent="0.3">
      <c r="V36" s="132" t="s">
        <v>158</v>
      </c>
      <c r="AC36" s="186">
        <f>AC33/$W$33</f>
        <v>24.932514712770075</v>
      </c>
      <c r="AD36" s="186">
        <f t="shared" ref="AD36:AL36" si="101">AD33/$W$33</f>
        <v>24.99845561732543</v>
      </c>
      <c r="AE36" s="186">
        <f t="shared" si="101"/>
        <v>25.18953400533529</v>
      </c>
      <c r="AF36" s="186">
        <f t="shared" si="101"/>
        <v>25.388255528865539</v>
      </c>
      <c r="AG36" s="186">
        <f t="shared" si="101"/>
        <v>26.08593534172806</v>
      </c>
      <c r="AH36" s="186">
        <f t="shared" si="101"/>
        <v>26.545315899959061</v>
      </c>
      <c r="AI36" s="186">
        <f t="shared" si="101"/>
        <v>26.768850587803392</v>
      </c>
      <c r="AJ36" s="186">
        <f t="shared" si="101"/>
        <v>27.001326663161496</v>
      </c>
      <c r="AK36" s="186">
        <f t="shared" si="101"/>
        <v>27.243101781533927</v>
      </c>
      <c r="AL36" s="186">
        <f t="shared" si="101"/>
        <v>27.494547904641259</v>
      </c>
    </row>
    <row r="37" spans="6:38" x14ac:dyDescent="0.3">
      <c r="V37" s="132" t="s">
        <v>251</v>
      </c>
      <c r="AC37" s="12">
        <f>AC33+(AC36*$X$33)</f>
        <v>1299158.5441383102</v>
      </c>
      <c r="AD37" s="12">
        <f t="shared" ref="AD37:AL37" si="102">AD33+(AD36*$X$33)</f>
        <v>1302594.5268519763</v>
      </c>
      <c r="AE37" s="12">
        <f t="shared" si="102"/>
        <v>1312551.0484160059</v>
      </c>
      <c r="AF37" s="12">
        <f t="shared" si="102"/>
        <v>1322905.8308425967</v>
      </c>
      <c r="AG37" s="12">
        <f t="shared" si="102"/>
        <v>1359259.8328514241</v>
      </c>
      <c r="AH37" s="12">
        <f t="shared" si="102"/>
        <v>1383196.7755991668</v>
      </c>
      <c r="AI37" s="12">
        <f t="shared" si="102"/>
        <v>1394844.4975786714</v>
      </c>
      <c r="AJ37" s="12">
        <f t="shared" si="102"/>
        <v>1406958.1284373561</v>
      </c>
      <c r="AK37" s="12">
        <f t="shared" si="102"/>
        <v>1419556.3045303884</v>
      </c>
      <c r="AL37" s="12">
        <f t="shared" si="102"/>
        <v>1432658.4076671421</v>
      </c>
    </row>
    <row r="38" spans="6:38" x14ac:dyDescent="0.3">
      <c r="V38" s="1" t="s">
        <v>159</v>
      </c>
      <c r="W38" s="1">
        <f>COUNTIF(B7:B14, "V")</f>
        <v>1</v>
      </c>
      <c r="X38" s="226"/>
      <c r="Y38" s="1"/>
      <c r="Z38" s="1"/>
      <c r="AA38" s="1"/>
      <c r="AB38" s="11"/>
      <c r="AC38" s="28">
        <f>AC36*-$X$33</f>
        <v>-74797.54413831023</v>
      </c>
      <c r="AD38" s="28">
        <f>AD36*-$X$33</f>
        <v>-74995.366851976287</v>
      </c>
      <c r="AE38" s="28">
        <f>AE36*-$X$33</f>
        <v>-75568.602016005869</v>
      </c>
      <c r="AF38" s="28">
        <f t="shared" ref="AF38:AL38" si="103">AF36*-$X$33</f>
        <v>-76164.766586596612</v>
      </c>
      <c r="AG38" s="28">
        <f t="shared" si="103"/>
        <v>-78257.806025184182</v>
      </c>
      <c r="AH38" s="28">
        <f t="shared" si="103"/>
        <v>-79635.947699877186</v>
      </c>
      <c r="AI38" s="28">
        <f t="shared" si="103"/>
        <v>-80306.551763410171</v>
      </c>
      <c r="AJ38" s="28">
        <f t="shared" si="103"/>
        <v>-81003.979989484491</v>
      </c>
      <c r="AK38" s="28">
        <f t="shared" si="103"/>
        <v>-81729.305344601773</v>
      </c>
      <c r="AL38" s="28">
        <f t="shared" si="103"/>
        <v>-82483.643713923782</v>
      </c>
    </row>
    <row r="39" spans="6:38" x14ac:dyDescent="0.3">
      <c r="V39" s="6" t="s">
        <v>5</v>
      </c>
      <c r="AC39" s="102">
        <f>SUM(AC37:AC38)</f>
        <v>1224361</v>
      </c>
      <c r="AD39" s="102">
        <f t="shared" ref="AD39:AL39" si="104">SUM(AD37:AD38)</f>
        <v>1227599.1599999999</v>
      </c>
      <c r="AE39" s="102">
        <f t="shared" si="104"/>
        <v>1236982.4464</v>
      </c>
      <c r="AF39" s="102">
        <f t="shared" si="104"/>
        <v>1246741.0642560001</v>
      </c>
      <c r="AG39" s="102">
        <f t="shared" si="104"/>
        <v>1281002.0268262399</v>
      </c>
      <c r="AH39" s="102">
        <f t="shared" si="104"/>
        <v>1303560.8278992896</v>
      </c>
      <c r="AI39" s="102">
        <f t="shared" si="104"/>
        <v>1314537.9458152612</v>
      </c>
      <c r="AJ39" s="102">
        <f t="shared" si="104"/>
        <v>1325954.1484478717</v>
      </c>
      <c r="AK39" s="102">
        <f t="shared" si="104"/>
        <v>1337826.9991857866</v>
      </c>
      <c r="AL39" s="102">
        <f t="shared" si="104"/>
        <v>1350174.7639532182</v>
      </c>
    </row>
    <row r="41" spans="6:38" x14ac:dyDescent="0.3">
      <c r="V41" s="6" t="s">
        <v>29</v>
      </c>
      <c r="W41" t="str">
        <f>'Cash Flow 10 Yr'!B64</f>
        <v>*All leases renew at 4% increase per year</v>
      </c>
    </row>
    <row r="44" spans="6:38" x14ac:dyDescent="0.3">
      <c r="W44" s="241"/>
    </row>
    <row r="45" spans="6:38" x14ac:dyDescent="0.3">
      <c r="W45" s="241"/>
    </row>
  </sheetData>
  <mergeCells count="1">
    <mergeCell ref="AE1:AG1"/>
  </mergeCells>
  <phoneticPr fontId="8" type="noConversion"/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71546-7545-4ECD-9FD0-3B4BD93F506E}">
  <dimension ref="B1:S250"/>
  <sheetViews>
    <sheetView topLeftCell="C103" zoomScale="110" zoomScaleNormal="110" workbookViewId="0">
      <selection activeCell="M22" sqref="M22"/>
    </sheetView>
  </sheetViews>
  <sheetFormatPr defaultRowHeight="14.4" x14ac:dyDescent="0.3"/>
  <cols>
    <col min="4" max="4" width="11.6640625" customWidth="1"/>
    <col min="5" max="5" width="14.44140625" bestFit="1" customWidth="1"/>
    <col min="6" max="6" width="14.33203125" bestFit="1" customWidth="1"/>
    <col min="8" max="9" width="12.6640625" bestFit="1" customWidth="1"/>
    <col min="10" max="11" width="11" bestFit="1" customWidth="1"/>
    <col min="12" max="12" width="10" bestFit="1" customWidth="1"/>
    <col min="13" max="13" width="12.6640625" bestFit="1" customWidth="1"/>
    <col min="14" max="14" width="9" bestFit="1" customWidth="1"/>
    <col min="15" max="15" width="13" bestFit="1" customWidth="1"/>
    <col min="16" max="16" width="13.6640625" bestFit="1" customWidth="1"/>
    <col min="17" max="17" width="11.6640625" bestFit="1" customWidth="1"/>
    <col min="18" max="19" width="10.88671875" bestFit="1" customWidth="1"/>
  </cols>
  <sheetData>
    <row r="1" spans="2:15" ht="18" x14ac:dyDescent="0.35">
      <c r="E1" s="275" t="s">
        <v>0</v>
      </c>
      <c r="F1" s="275"/>
      <c r="G1" s="275"/>
    </row>
    <row r="2" spans="2:15" ht="21" x14ac:dyDescent="0.4">
      <c r="B2" s="5" t="s">
        <v>175</v>
      </c>
    </row>
    <row r="3" spans="2:15" ht="18" x14ac:dyDescent="0.35">
      <c r="B3" s="4" t="str">
        <f>'Dashboard Control'!B3</f>
        <v>Miller Building</v>
      </c>
    </row>
    <row r="4" spans="2:15" x14ac:dyDescent="0.3">
      <c r="G4" s="287" t="str">
        <f>B2</f>
        <v>Amortization Schedule</v>
      </c>
      <c r="H4" s="287"/>
      <c r="I4" s="287"/>
      <c r="J4" s="287"/>
      <c r="K4" s="287"/>
      <c r="L4" s="287"/>
      <c r="M4" s="287"/>
      <c r="N4" s="287"/>
    </row>
    <row r="5" spans="2:15" x14ac:dyDescent="0.3">
      <c r="G5" s="6" t="s">
        <v>176</v>
      </c>
      <c r="H5" s="74">
        <f>E11</f>
        <v>6075000</v>
      </c>
      <c r="M5" s="6" t="s">
        <v>177</v>
      </c>
      <c r="N5">
        <v>1</v>
      </c>
    </row>
    <row r="6" spans="2:15" x14ac:dyDescent="0.3">
      <c r="G6" s="6" t="s">
        <v>178</v>
      </c>
      <c r="H6" s="42">
        <f>E12</f>
        <v>4.6899999999999997E-2</v>
      </c>
      <c r="I6">
        <v>12</v>
      </c>
      <c r="M6" s="6" t="s">
        <v>179</v>
      </c>
      <c r="N6">
        <f>'Dashboard Control'!N9</f>
        <v>0</v>
      </c>
    </row>
    <row r="7" spans="2:15" x14ac:dyDescent="0.3">
      <c r="B7" s="280" t="s">
        <v>180</v>
      </c>
      <c r="C7" s="280"/>
      <c r="D7" s="280"/>
      <c r="E7" s="133"/>
      <c r="G7" s="6" t="s">
        <v>181</v>
      </c>
      <c r="H7">
        <f>E13*12</f>
        <v>240</v>
      </c>
    </row>
    <row r="8" spans="2:15" x14ac:dyDescent="0.3">
      <c r="B8" s="282" t="s">
        <v>165</v>
      </c>
      <c r="C8" s="282"/>
      <c r="D8" s="282"/>
      <c r="E8" s="22">
        <f>'Dashboard Control'!N22</f>
        <v>8100000</v>
      </c>
    </row>
    <row r="9" spans="2:15" x14ac:dyDescent="0.3">
      <c r="B9" s="282" t="s">
        <v>182</v>
      </c>
      <c r="C9" s="282"/>
      <c r="D9" s="282"/>
      <c r="E9" s="20">
        <f>1-'Dashboard Control'!N6</f>
        <v>0.75</v>
      </c>
      <c r="H9" s="216" t="s">
        <v>183</v>
      </c>
      <c r="I9" s="216" t="s">
        <v>184</v>
      </c>
      <c r="J9" s="216" t="s">
        <v>185</v>
      </c>
      <c r="K9" s="216" t="s">
        <v>11</v>
      </c>
      <c r="L9" s="216" t="s">
        <v>10</v>
      </c>
      <c r="M9" s="216" t="s">
        <v>186</v>
      </c>
    </row>
    <row r="10" spans="2:15" x14ac:dyDescent="0.3">
      <c r="B10" s="282" t="s">
        <v>244</v>
      </c>
      <c r="C10" s="282"/>
      <c r="D10" s="282"/>
      <c r="E10" s="22">
        <f>E8*'Dashboard Control'!N6</f>
        <v>2025000</v>
      </c>
      <c r="H10" s="209"/>
      <c r="I10" s="74"/>
      <c r="J10" s="74"/>
      <c r="K10" s="74"/>
      <c r="L10" s="74"/>
      <c r="M10" s="74">
        <f>H5</f>
        <v>6075000</v>
      </c>
      <c r="O10" s="84"/>
    </row>
    <row r="11" spans="2:15" x14ac:dyDescent="0.3">
      <c r="B11" s="273" t="s">
        <v>187</v>
      </c>
      <c r="C11" s="273"/>
      <c r="D11" s="273"/>
      <c r="E11" s="22">
        <f>E8*E9</f>
        <v>6075000</v>
      </c>
      <c r="H11" s="209">
        <v>1</v>
      </c>
      <c r="I11" s="74">
        <f>H5</f>
        <v>6075000</v>
      </c>
      <c r="J11" s="74">
        <f>IF(AND($N$5,H11&lt;=$N$6),K11,PMT($H$6/$I$6,IF($N$5,$H$7-$N$6,$H$7),$H$5))</f>
        <v>-39059.294731850554</v>
      </c>
      <c r="K11" s="74">
        <f>+$H$6/$I$6*M10*-1</f>
        <v>-23743.125</v>
      </c>
      <c r="L11" s="74">
        <f>J11-K11</f>
        <v>-15316.169731850554</v>
      </c>
      <c r="M11" s="74">
        <f>I11+L11</f>
        <v>6059683.8302681493</v>
      </c>
    </row>
    <row r="12" spans="2:15" x14ac:dyDescent="0.3">
      <c r="B12" s="282" t="s">
        <v>188</v>
      </c>
      <c r="C12" s="282"/>
      <c r="D12" s="282"/>
      <c r="E12" s="53">
        <f>'Dashboard Control'!N7</f>
        <v>4.6899999999999997E-2</v>
      </c>
      <c r="H12" s="209">
        <v>2</v>
      </c>
      <c r="I12" s="74">
        <f>M11</f>
        <v>6059683.8302681493</v>
      </c>
      <c r="J12" s="74">
        <f t="shared" ref="J12:J75" si="0">IF(AND($N$5,H12&lt;=$N$6),K12,PMT($H$6/$I$6,IF($N$5,$H$7-$N$6,$H$7),$H$5))</f>
        <v>-39059.294731850554</v>
      </c>
      <c r="K12" s="74">
        <f t="shared" ref="K12:K75" si="1">+$H$6/$I$6*M11*-1</f>
        <v>-23683.264303298016</v>
      </c>
      <c r="L12" s="74">
        <f t="shared" ref="L12:L75" si="2">J12-K12</f>
        <v>-15376.030428552538</v>
      </c>
      <c r="M12" s="74">
        <f t="shared" ref="M12:M75" si="3">I12+L12</f>
        <v>6044307.7998395963</v>
      </c>
    </row>
    <row r="13" spans="2:15" x14ac:dyDescent="0.3">
      <c r="B13" s="282" t="s">
        <v>189</v>
      </c>
      <c r="C13" s="282"/>
      <c r="D13" s="282"/>
      <c r="E13">
        <f>'Dashboard Control'!N8</f>
        <v>20</v>
      </c>
      <c r="H13" s="209">
        <v>3</v>
      </c>
      <c r="I13" s="74">
        <f t="shared" ref="I13:I76" si="4">M12</f>
        <v>6044307.7998395963</v>
      </c>
      <c r="J13" s="74">
        <f t="shared" si="0"/>
        <v>-39059.294731850554</v>
      </c>
      <c r="K13" s="74">
        <f t="shared" si="1"/>
        <v>-23623.169651039752</v>
      </c>
      <c r="L13" s="74">
        <f t="shared" si="2"/>
        <v>-15436.125080810802</v>
      </c>
      <c r="M13" s="74">
        <f t="shared" si="3"/>
        <v>6028871.6747587854</v>
      </c>
    </row>
    <row r="14" spans="2:15" x14ac:dyDescent="0.3">
      <c r="B14" s="282" t="s">
        <v>190</v>
      </c>
      <c r="C14" s="282"/>
      <c r="D14" s="282"/>
      <c r="E14" s="37">
        <f>J23</f>
        <v>-39059.294731850554</v>
      </c>
      <c r="H14" s="209">
        <v>4</v>
      </c>
      <c r="I14" s="74">
        <f t="shared" si="4"/>
        <v>6028871.6747587854</v>
      </c>
      <c r="J14" s="74">
        <f t="shared" si="0"/>
        <v>-39059.294731850554</v>
      </c>
      <c r="K14" s="74">
        <f t="shared" si="1"/>
        <v>-23562.840128848919</v>
      </c>
      <c r="L14" s="74">
        <f t="shared" si="2"/>
        <v>-15496.454603001635</v>
      </c>
      <c r="M14" s="74">
        <f t="shared" si="3"/>
        <v>6013375.2201557839</v>
      </c>
    </row>
    <row r="15" spans="2:15" x14ac:dyDescent="0.3">
      <c r="B15" s="208"/>
      <c r="C15" s="208"/>
      <c r="D15" s="208"/>
      <c r="H15" s="209">
        <v>5</v>
      </c>
      <c r="I15" s="74">
        <f t="shared" si="4"/>
        <v>6013375.2201557839</v>
      </c>
      <c r="J15" s="74">
        <f t="shared" si="0"/>
        <v>-39059.294731850554</v>
      </c>
      <c r="K15" s="74">
        <f t="shared" si="1"/>
        <v>-23502.274818775521</v>
      </c>
      <c r="L15" s="74">
        <f t="shared" si="2"/>
        <v>-15557.019913075033</v>
      </c>
      <c r="M15" s="74">
        <f t="shared" si="3"/>
        <v>5997818.2002427084</v>
      </c>
    </row>
    <row r="16" spans="2:15" x14ac:dyDescent="0.3">
      <c r="B16" s="208"/>
      <c r="C16" s="208"/>
      <c r="D16" s="208"/>
      <c r="H16" s="209">
        <v>6</v>
      </c>
      <c r="I16" s="74">
        <f t="shared" si="4"/>
        <v>5997818.2002427084</v>
      </c>
      <c r="J16" s="74">
        <f t="shared" si="0"/>
        <v>-39059.294731850554</v>
      </c>
      <c r="K16" s="74">
        <f t="shared" si="1"/>
        <v>-23441.472799281917</v>
      </c>
      <c r="L16" s="74">
        <f t="shared" si="2"/>
        <v>-15617.821932568637</v>
      </c>
      <c r="M16" s="74">
        <f t="shared" si="3"/>
        <v>5982200.3783101402</v>
      </c>
    </row>
    <row r="17" spans="2:17" x14ac:dyDescent="0.3">
      <c r="B17" s="208"/>
      <c r="C17" s="208"/>
      <c r="D17" s="208"/>
      <c r="H17" s="209">
        <v>7</v>
      </c>
      <c r="I17" s="74">
        <f t="shared" si="4"/>
        <v>5982200.3783101402</v>
      </c>
      <c r="J17" s="74">
        <f t="shared" si="0"/>
        <v>-39059.294731850554</v>
      </c>
      <c r="K17" s="74">
        <f t="shared" si="1"/>
        <v>-23380.433145228795</v>
      </c>
      <c r="L17" s="74">
        <f t="shared" si="2"/>
        <v>-15678.861586621759</v>
      </c>
      <c r="M17" s="74">
        <f t="shared" si="3"/>
        <v>5966521.5167235183</v>
      </c>
    </row>
    <row r="18" spans="2:17" x14ac:dyDescent="0.3">
      <c r="B18" s="77"/>
      <c r="C18" s="77"/>
      <c r="D18" s="77"/>
      <c r="E18" s="78"/>
      <c r="F18" s="78"/>
      <c r="H18" s="209">
        <v>8</v>
      </c>
      <c r="I18" s="74">
        <f t="shared" si="4"/>
        <v>5966521.5167235183</v>
      </c>
      <c r="J18" s="74">
        <f t="shared" si="0"/>
        <v>-39059.294731850554</v>
      </c>
      <c r="K18" s="74">
        <f t="shared" si="1"/>
        <v>-23319.154927861084</v>
      </c>
      <c r="L18" s="74">
        <f t="shared" si="2"/>
        <v>-15740.13980398947</v>
      </c>
      <c r="M18" s="74">
        <f t="shared" si="3"/>
        <v>5950781.3769195285</v>
      </c>
    </row>
    <row r="19" spans="2:17" x14ac:dyDescent="0.3">
      <c r="B19" s="79"/>
      <c r="C19" s="79"/>
      <c r="D19" s="79"/>
      <c r="E19" s="80"/>
      <c r="F19" s="81"/>
      <c r="H19" s="209">
        <v>9</v>
      </c>
      <c r="I19" s="74">
        <f t="shared" si="4"/>
        <v>5950781.3769195285</v>
      </c>
      <c r="J19" s="74">
        <f t="shared" si="0"/>
        <v>-39059.294731850554</v>
      </c>
      <c r="K19" s="74">
        <f t="shared" si="1"/>
        <v>-23257.637214793824</v>
      </c>
      <c r="L19" s="74">
        <f t="shared" si="2"/>
        <v>-15801.65751705673</v>
      </c>
      <c r="M19" s="74">
        <f t="shared" si="3"/>
        <v>5934979.7194024716</v>
      </c>
    </row>
    <row r="20" spans="2:17" x14ac:dyDescent="0.3">
      <c r="B20" s="79"/>
      <c r="C20" s="79"/>
      <c r="D20" s="79"/>
      <c r="E20" s="80"/>
      <c r="F20" s="80"/>
      <c r="H20" s="209">
        <v>10</v>
      </c>
      <c r="I20" s="74">
        <f t="shared" si="4"/>
        <v>5934979.7194024716</v>
      </c>
      <c r="J20" s="74">
        <f t="shared" si="0"/>
        <v>-39059.294731850554</v>
      </c>
      <c r="K20" s="74">
        <f t="shared" si="1"/>
        <v>-23195.879069997991</v>
      </c>
      <c r="L20" s="74">
        <f t="shared" si="2"/>
        <v>-15863.415661852563</v>
      </c>
      <c r="M20" s="74">
        <f t="shared" si="3"/>
        <v>5919116.3037406188</v>
      </c>
    </row>
    <row r="21" spans="2:17" x14ac:dyDescent="0.3">
      <c r="B21" s="79"/>
      <c r="C21" s="79"/>
      <c r="D21" s="79"/>
      <c r="E21" s="81"/>
      <c r="F21" s="81"/>
      <c r="H21" s="209">
        <v>11</v>
      </c>
      <c r="I21" s="74">
        <f t="shared" si="4"/>
        <v>5919116.3037406188</v>
      </c>
      <c r="J21" s="74">
        <f t="shared" si="0"/>
        <v>-39059.294731850554</v>
      </c>
      <c r="K21" s="74">
        <f t="shared" si="1"/>
        <v>-23133.87955378625</v>
      </c>
      <c r="L21" s="74">
        <f t="shared" si="2"/>
        <v>-15925.415178064304</v>
      </c>
      <c r="M21" s="74">
        <f t="shared" si="3"/>
        <v>5903190.8885625545</v>
      </c>
      <c r="O21" s="76" t="s">
        <v>191</v>
      </c>
      <c r="P21" s="76" t="s">
        <v>192</v>
      </c>
      <c r="Q21" s="76" t="s">
        <v>193</v>
      </c>
    </row>
    <row r="22" spans="2:17" x14ac:dyDescent="0.3">
      <c r="B22" s="79"/>
      <c r="C22" s="79"/>
      <c r="D22" s="79"/>
      <c r="E22" s="81"/>
      <c r="F22" s="81"/>
      <c r="H22" s="209">
        <v>12</v>
      </c>
      <c r="I22" s="74">
        <f t="shared" si="4"/>
        <v>5903190.8885625545</v>
      </c>
      <c r="J22" s="74">
        <f t="shared" si="0"/>
        <v>-39059.294731850554</v>
      </c>
      <c r="K22" s="74">
        <f t="shared" si="1"/>
        <v>-23071.637722798649</v>
      </c>
      <c r="L22" s="74">
        <f t="shared" si="2"/>
        <v>-15987.657009051905</v>
      </c>
      <c r="M22" s="75">
        <f t="shared" si="3"/>
        <v>5887203.2315535024</v>
      </c>
      <c r="O22" s="74">
        <f>SUM(K11:K22)</f>
        <v>-280914.76833571069</v>
      </c>
      <c r="P22" s="74">
        <f>SUM(L11:L22)</f>
        <v>-187796.76844649596</v>
      </c>
      <c r="Q22" s="74">
        <f>SUM(J11:J22)</f>
        <v>-468711.53678220668</v>
      </c>
    </row>
    <row r="23" spans="2:17" x14ac:dyDescent="0.3">
      <c r="B23" s="79"/>
      <c r="C23" s="79"/>
      <c r="D23" s="79"/>
      <c r="E23" s="80"/>
      <c r="F23" s="81"/>
      <c r="H23" s="209">
        <v>13</v>
      </c>
      <c r="I23" s="74">
        <f t="shared" si="4"/>
        <v>5887203.2315535024</v>
      </c>
      <c r="J23" s="74">
        <f t="shared" si="0"/>
        <v>-39059.294731850554</v>
      </c>
      <c r="K23" s="74">
        <f t="shared" si="1"/>
        <v>-23009.152629988272</v>
      </c>
      <c r="L23" s="74">
        <f t="shared" si="2"/>
        <v>-16050.142101862282</v>
      </c>
      <c r="M23" s="74">
        <f t="shared" si="3"/>
        <v>5871153.0894516399</v>
      </c>
    </row>
    <row r="24" spans="2:17" x14ac:dyDescent="0.3">
      <c r="B24" s="82"/>
      <c r="C24" s="82"/>
      <c r="D24" s="82"/>
      <c r="E24" s="83"/>
      <c r="F24" s="83"/>
      <c r="H24" s="209">
        <v>14</v>
      </c>
      <c r="I24" s="74">
        <f t="shared" si="4"/>
        <v>5871153.0894516399</v>
      </c>
      <c r="J24" s="74">
        <f t="shared" si="0"/>
        <v>-39059.294731850554</v>
      </c>
      <c r="K24" s="74">
        <f t="shared" si="1"/>
        <v>-22946.423324606825</v>
      </c>
      <c r="L24" s="74">
        <f t="shared" si="2"/>
        <v>-16112.871407243729</v>
      </c>
      <c r="M24" s="74">
        <f t="shared" si="3"/>
        <v>5855040.2180443965</v>
      </c>
    </row>
    <row r="25" spans="2:17" x14ac:dyDescent="0.3">
      <c r="B25" s="82"/>
      <c r="C25" s="82"/>
      <c r="D25" s="82"/>
      <c r="E25" s="83"/>
      <c r="F25" s="83"/>
      <c r="H25" s="209">
        <v>15</v>
      </c>
      <c r="I25" s="74">
        <f t="shared" si="4"/>
        <v>5855040.2180443965</v>
      </c>
      <c r="J25" s="74">
        <f t="shared" si="0"/>
        <v>-39059.294731850554</v>
      </c>
      <c r="K25" s="74">
        <f t="shared" si="1"/>
        <v>-22883.44885219018</v>
      </c>
      <c r="L25" s="74">
        <f t="shared" si="2"/>
        <v>-16175.845879660374</v>
      </c>
      <c r="M25" s="74">
        <f t="shared" si="3"/>
        <v>5838864.3721647365</v>
      </c>
    </row>
    <row r="26" spans="2:17" x14ac:dyDescent="0.3">
      <c r="B26" s="82"/>
      <c r="C26" s="82"/>
      <c r="D26" s="82"/>
      <c r="E26" s="83"/>
      <c r="F26" s="83"/>
      <c r="H26" s="209">
        <v>16</v>
      </c>
      <c r="I26" s="74">
        <f t="shared" si="4"/>
        <v>5838864.3721647365</v>
      </c>
      <c r="J26" s="74">
        <f t="shared" si="0"/>
        <v>-39059.294731850554</v>
      </c>
      <c r="K26" s="74">
        <f t="shared" si="1"/>
        <v>-22820.228254543843</v>
      </c>
      <c r="L26" s="74">
        <f t="shared" si="2"/>
        <v>-16239.066477306711</v>
      </c>
      <c r="M26" s="74">
        <f t="shared" si="3"/>
        <v>5822625.3056874294</v>
      </c>
    </row>
    <row r="27" spans="2:17" x14ac:dyDescent="0.3">
      <c r="B27" s="79"/>
      <c r="C27" s="79"/>
      <c r="D27" s="79"/>
      <c r="E27" s="83"/>
      <c r="F27" s="83"/>
      <c r="H27" s="209">
        <v>17</v>
      </c>
      <c r="I27" s="74">
        <f t="shared" si="4"/>
        <v>5822625.3056874294</v>
      </c>
      <c r="J27" s="74">
        <f t="shared" si="0"/>
        <v>-39059.294731850554</v>
      </c>
      <c r="K27" s="74">
        <f t="shared" si="1"/>
        <v>-22756.760569728369</v>
      </c>
      <c r="L27" s="74">
        <f t="shared" si="2"/>
        <v>-16302.534162122185</v>
      </c>
      <c r="M27" s="74">
        <f t="shared" si="3"/>
        <v>5806322.7715253076</v>
      </c>
    </row>
    <row r="28" spans="2:17" x14ac:dyDescent="0.3">
      <c r="H28" s="209">
        <v>18</v>
      </c>
      <c r="I28" s="74">
        <f t="shared" si="4"/>
        <v>5806322.7715253076</v>
      </c>
      <c r="J28" s="74">
        <f t="shared" si="0"/>
        <v>-39059.294731850554</v>
      </c>
      <c r="K28" s="74">
        <f t="shared" si="1"/>
        <v>-22693.044832044743</v>
      </c>
      <c r="L28" s="74">
        <f t="shared" si="2"/>
        <v>-16366.249899805811</v>
      </c>
      <c r="M28" s="74">
        <f t="shared" si="3"/>
        <v>5789956.521625502</v>
      </c>
    </row>
    <row r="29" spans="2:17" x14ac:dyDescent="0.3">
      <c r="H29" s="209">
        <v>19</v>
      </c>
      <c r="I29" s="74">
        <f t="shared" si="4"/>
        <v>5789956.521625502</v>
      </c>
      <c r="J29" s="74">
        <f t="shared" si="0"/>
        <v>-39059.294731850554</v>
      </c>
      <c r="K29" s="74">
        <f t="shared" si="1"/>
        <v>-22629.080072019668</v>
      </c>
      <c r="L29" s="74">
        <f t="shared" si="2"/>
        <v>-16430.214659830886</v>
      </c>
      <c r="M29" s="74">
        <f t="shared" si="3"/>
        <v>5773526.3069656715</v>
      </c>
    </row>
    <row r="30" spans="2:17" x14ac:dyDescent="0.3">
      <c r="H30" s="209">
        <v>20</v>
      </c>
      <c r="I30" s="74">
        <f t="shared" si="4"/>
        <v>5773526.3069656715</v>
      </c>
      <c r="J30" s="74">
        <f t="shared" si="0"/>
        <v>-39059.294731850554</v>
      </c>
      <c r="K30" s="74">
        <f t="shared" si="1"/>
        <v>-22564.865316390831</v>
      </c>
      <c r="L30" s="74">
        <f t="shared" si="2"/>
        <v>-16494.429415459723</v>
      </c>
      <c r="M30" s="74">
        <f t="shared" si="3"/>
        <v>5757031.8775502117</v>
      </c>
    </row>
    <row r="31" spans="2:17" x14ac:dyDescent="0.3">
      <c r="H31" s="209">
        <v>21</v>
      </c>
      <c r="I31" s="74">
        <f t="shared" si="4"/>
        <v>5757031.8775502117</v>
      </c>
      <c r="J31" s="74">
        <f t="shared" si="0"/>
        <v>-39059.294731850554</v>
      </c>
      <c r="K31" s="74">
        <f t="shared" si="1"/>
        <v>-22500.399588092077</v>
      </c>
      <c r="L31" s="74">
        <f t="shared" si="2"/>
        <v>-16558.895143758476</v>
      </c>
      <c r="M31" s="74">
        <f t="shared" si="3"/>
        <v>5740472.9824064532</v>
      </c>
    </row>
    <row r="32" spans="2:17" x14ac:dyDescent="0.3">
      <c r="H32" s="209">
        <v>22</v>
      </c>
      <c r="I32" s="74">
        <f t="shared" si="4"/>
        <v>5740472.9824064532</v>
      </c>
      <c r="J32" s="74">
        <f t="shared" si="0"/>
        <v>-39059.294731850554</v>
      </c>
      <c r="K32" s="74">
        <f t="shared" si="1"/>
        <v>-22435.681906238555</v>
      </c>
      <c r="L32" s="74">
        <f t="shared" si="2"/>
        <v>-16623.612825611999</v>
      </c>
      <c r="M32" s="74">
        <f t="shared" si="3"/>
        <v>5723849.3695808416</v>
      </c>
    </row>
    <row r="33" spans="8:19" x14ac:dyDescent="0.3">
      <c r="H33" s="209">
        <v>23</v>
      </c>
      <c r="I33" s="74">
        <f t="shared" si="4"/>
        <v>5723849.3695808416</v>
      </c>
      <c r="J33" s="74">
        <f t="shared" si="0"/>
        <v>-39059.294731850554</v>
      </c>
      <c r="K33" s="74">
        <f t="shared" si="1"/>
        <v>-22370.711286111789</v>
      </c>
      <c r="L33" s="74">
        <f t="shared" si="2"/>
        <v>-16688.583445738765</v>
      </c>
      <c r="M33" s="74">
        <f t="shared" si="3"/>
        <v>5707160.7861351026</v>
      </c>
      <c r="O33" s="76" t="s">
        <v>191</v>
      </c>
      <c r="P33" s="76" t="s">
        <v>192</v>
      </c>
      <c r="Q33" s="76" t="s">
        <v>193</v>
      </c>
    </row>
    <row r="34" spans="8:19" x14ac:dyDescent="0.3">
      <c r="H34" s="209">
        <v>24</v>
      </c>
      <c r="I34" s="74">
        <f t="shared" si="4"/>
        <v>5707160.7861351026</v>
      </c>
      <c r="J34" s="74">
        <f t="shared" si="0"/>
        <v>-39059.294731850554</v>
      </c>
      <c r="K34" s="74">
        <f t="shared" si="1"/>
        <v>-22305.48673914469</v>
      </c>
      <c r="L34" s="74">
        <f t="shared" si="2"/>
        <v>-16753.807992705864</v>
      </c>
      <c r="M34" s="75">
        <f t="shared" si="3"/>
        <v>5690406.9781423965</v>
      </c>
      <c r="O34" s="74">
        <f>SUM(K23:K34)</f>
        <v>-271915.28337109985</v>
      </c>
      <c r="P34" s="74">
        <f>SUM(L23:L34)</f>
        <v>-196796.25341110685</v>
      </c>
      <c r="Q34" s="74">
        <f>SUM(J23:J34)</f>
        <v>-468711.53678220668</v>
      </c>
      <c r="S34" s="74"/>
    </row>
    <row r="35" spans="8:19" x14ac:dyDescent="0.3">
      <c r="H35" s="209">
        <v>25</v>
      </c>
      <c r="I35" s="74">
        <f t="shared" si="4"/>
        <v>5690406.9781423965</v>
      </c>
      <c r="J35" s="74">
        <f t="shared" si="0"/>
        <v>-39059.294731850554</v>
      </c>
      <c r="K35" s="74">
        <f t="shared" si="1"/>
        <v>-22240.007272906532</v>
      </c>
      <c r="L35" s="74">
        <f t="shared" si="2"/>
        <v>-16819.287458944022</v>
      </c>
      <c r="M35" s="74">
        <f t="shared" si="3"/>
        <v>5673587.6906834524</v>
      </c>
    </row>
    <row r="36" spans="8:19" x14ac:dyDescent="0.3">
      <c r="H36" s="209">
        <v>26</v>
      </c>
      <c r="I36" s="74">
        <f t="shared" si="4"/>
        <v>5673587.6906834524</v>
      </c>
      <c r="J36" s="74">
        <f t="shared" si="0"/>
        <v>-39059.294731850554</v>
      </c>
      <c r="K36" s="74">
        <f t="shared" si="1"/>
        <v>-22174.271891087825</v>
      </c>
      <c r="L36" s="74">
        <f t="shared" si="2"/>
        <v>-16885.022840762729</v>
      </c>
      <c r="M36" s="74">
        <f t="shared" si="3"/>
        <v>5656702.6678426899</v>
      </c>
    </row>
    <row r="37" spans="8:19" x14ac:dyDescent="0.3">
      <c r="H37" s="209">
        <v>27</v>
      </c>
      <c r="I37" s="74">
        <f t="shared" si="4"/>
        <v>5656702.6678426899</v>
      </c>
      <c r="J37" s="74">
        <f t="shared" si="0"/>
        <v>-39059.294731850554</v>
      </c>
      <c r="K37" s="74">
        <f t="shared" si="1"/>
        <v>-22108.279593485178</v>
      </c>
      <c r="L37" s="74">
        <f t="shared" si="2"/>
        <v>-16951.015138365376</v>
      </c>
      <c r="M37" s="74">
        <f t="shared" si="3"/>
        <v>5639751.6527043246</v>
      </c>
    </row>
    <row r="38" spans="8:19" x14ac:dyDescent="0.3">
      <c r="H38" s="209">
        <v>28</v>
      </c>
      <c r="I38" s="74">
        <f t="shared" si="4"/>
        <v>5639751.6527043246</v>
      </c>
      <c r="J38" s="74">
        <f t="shared" si="0"/>
        <v>-39059.294731850554</v>
      </c>
      <c r="K38" s="74">
        <f t="shared" si="1"/>
        <v>-22042.029375986069</v>
      </c>
      <c r="L38" s="74">
        <f t="shared" si="2"/>
        <v>-17017.265355864485</v>
      </c>
      <c r="M38" s="74">
        <f t="shared" si="3"/>
        <v>5622734.38734846</v>
      </c>
    </row>
    <row r="39" spans="8:19" x14ac:dyDescent="0.3">
      <c r="H39" s="209">
        <v>29</v>
      </c>
      <c r="I39" s="74">
        <f t="shared" si="4"/>
        <v>5622734.38734846</v>
      </c>
      <c r="J39" s="74">
        <f t="shared" si="0"/>
        <v>-39059.294731850554</v>
      </c>
      <c r="K39" s="74">
        <f t="shared" si="1"/>
        <v>-21975.520230553564</v>
      </c>
      <c r="L39" s="74">
        <f t="shared" si="2"/>
        <v>-17083.77450129699</v>
      </c>
      <c r="M39" s="74">
        <f t="shared" si="3"/>
        <v>5605650.6128471633</v>
      </c>
    </row>
    <row r="40" spans="8:19" x14ac:dyDescent="0.3">
      <c r="H40" s="209">
        <v>30</v>
      </c>
      <c r="I40" s="74">
        <f t="shared" si="4"/>
        <v>5605650.6128471633</v>
      </c>
      <c r="J40" s="74">
        <f t="shared" si="0"/>
        <v>-39059.294731850554</v>
      </c>
      <c r="K40" s="74">
        <f t="shared" si="1"/>
        <v>-21908.751145210994</v>
      </c>
      <c r="L40" s="74">
        <f t="shared" si="2"/>
        <v>-17150.54358663956</v>
      </c>
      <c r="M40" s="74">
        <f t="shared" si="3"/>
        <v>5588500.0692605237</v>
      </c>
    </row>
    <row r="41" spans="8:19" x14ac:dyDescent="0.3">
      <c r="H41" s="209">
        <v>31</v>
      </c>
      <c r="I41" s="74">
        <f t="shared" si="4"/>
        <v>5588500.0692605237</v>
      </c>
      <c r="J41" s="74">
        <f t="shared" si="0"/>
        <v>-39059.294731850554</v>
      </c>
      <c r="K41" s="74">
        <f t="shared" si="1"/>
        <v>-21841.721104026547</v>
      </c>
      <c r="L41" s="74">
        <f t="shared" si="2"/>
        <v>-17217.573627824007</v>
      </c>
      <c r="M41" s="74">
        <f t="shared" si="3"/>
        <v>5571282.4956326997</v>
      </c>
    </row>
    <row r="42" spans="8:19" x14ac:dyDescent="0.3">
      <c r="H42" s="209">
        <v>32</v>
      </c>
      <c r="I42" s="74">
        <f t="shared" si="4"/>
        <v>5571282.4956326997</v>
      </c>
      <c r="J42" s="74">
        <f t="shared" si="0"/>
        <v>-39059.294731850554</v>
      </c>
      <c r="K42" s="74">
        <f t="shared" si="1"/>
        <v>-21774.4290870978</v>
      </c>
      <c r="L42" s="74">
        <f t="shared" si="2"/>
        <v>-17284.865644752754</v>
      </c>
      <c r="M42" s="74">
        <f t="shared" si="3"/>
        <v>5553997.6299879467</v>
      </c>
    </row>
    <row r="43" spans="8:19" x14ac:dyDescent="0.3">
      <c r="H43" s="209">
        <v>33</v>
      </c>
      <c r="I43" s="74">
        <f t="shared" si="4"/>
        <v>5553997.6299879467</v>
      </c>
      <c r="J43" s="74">
        <f t="shared" si="0"/>
        <v>-39059.294731850554</v>
      </c>
      <c r="K43" s="74">
        <f t="shared" si="1"/>
        <v>-21706.874070536225</v>
      </c>
      <c r="L43" s="74">
        <f t="shared" si="2"/>
        <v>-17352.420661314329</v>
      </c>
      <c r="M43" s="74">
        <f t="shared" si="3"/>
        <v>5536645.2093266323</v>
      </c>
    </row>
    <row r="44" spans="8:19" x14ac:dyDescent="0.3">
      <c r="H44" s="209">
        <v>34</v>
      </c>
      <c r="I44" s="74">
        <f t="shared" si="4"/>
        <v>5536645.2093266323</v>
      </c>
      <c r="J44" s="74">
        <f t="shared" si="0"/>
        <v>-39059.294731850554</v>
      </c>
      <c r="K44" s="74">
        <f t="shared" si="1"/>
        <v>-21639.055026451588</v>
      </c>
      <c r="L44" s="74">
        <f t="shared" si="2"/>
        <v>-17420.239705398966</v>
      </c>
      <c r="M44" s="74">
        <f t="shared" si="3"/>
        <v>5519224.9696212336</v>
      </c>
    </row>
    <row r="45" spans="8:19" x14ac:dyDescent="0.3">
      <c r="H45" s="209">
        <v>35</v>
      </c>
      <c r="I45" s="74">
        <f t="shared" si="4"/>
        <v>5519224.9696212336</v>
      </c>
      <c r="J45" s="74">
        <f t="shared" si="0"/>
        <v>-39059.294731850554</v>
      </c>
      <c r="K45" s="74">
        <f t="shared" si="1"/>
        <v>-21570.970922936322</v>
      </c>
      <c r="L45" s="74">
        <f t="shared" si="2"/>
        <v>-17488.323808914232</v>
      </c>
      <c r="M45" s="74">
        <f t="shared" si="3"/>
        <v>5501736.6458123196</v>
      </c>
      <c r="O45" s="76" t="s">
        <v>191</v>
      </c>
      <c r="P45" s="76" t="s">
        <v>192</v>
      </c>
      <c r="Q45" s="76" t="s">
        <v>193</v>
      </c>
    </row>
    <row r="46" spans="8:19" x14ac:dyDescent="0.3">
      <c r="H46" s="209">
        <v>36</v>
      </c>
      <c r="I46" s="74">
        <f t="shared" si="4"/>
        <v>5501736.6458123196</v>
      </c>
      <c r="J46" s="74">
        <f t="shared" si="0"/>
        <v>-39059.294731850554</v>
      </c>
      <c r="K46" s="74">
        <f t="shared" si="1"/>
        <v>-21502.620724049815</v>
      </c>
      <c r="L46" s="74">
        <f t="shared" si="2"/>
        <v>-17556.674007800739</v>
      </c>
      <c r="M46" s="75">
        <f t="shared" si="3"/>
        <v>5484179.9718045192</v>
      </c>
      <c r="O46" s="74">
        <f>SUM(K35:K46)</f>
        <v>-262484.53044432844</v>
      </c>
      <c r="P46" s="74">
        <f>SUM(L35:L46)</f>
        <v>-206227.00633787815</v>
      </c>
      <c r="Q46" s="74">
        <f>SUM(J35:J46)</f>
        <v>-468711.53678220668</v>
      </c>
      <c r="S46" s="74"/>
    </row>
    <row r="47" spans="8:19" x14ac:dyDescent="0.3">
      <c r="H47" s="209">
        <v>37</v>
      </c>
      <c r="I47" s="74">
        <f t="shared" si="4"/>
        <v>5484179.9718045192</v>
      </c>
      <c r="J47" s="74">
        <f t="shared" si="0"/>
        <v>-39059.294731850554</v>
      </c>
      <c r="K47" s="74">
        <f t="shared" si="1"/>
        <v>-21434.00338980266</v>
      </c>
      <c r="L47" s="74">
        <f t="shared" si="2"/>
        <v>-17625.291342047894</v>
      </c>
      <c r="M47" s="74">
        <f t="shared" si="3"/>
        <v>5466554.6804624712</v>
      </c>
    </row>
    <row r="48" spans="8:19" x14ac:dyDescent="0.3">
      <c r="H48" s="209">
        <v>38</v>
      </c>
      <c r="I48" s="74">
        <f t="shared" si="4"/>
        <v>5466554.6804624712</v>
      </c>
      <c r="J48" s="74">
        <f t="shared" si="0"/>
        <v>-39059.294731850554</v>
      </c>
      <c r="K48" s="74">
        <f t="shared" si="1"/>
        <v>-21365.117876140823</v>
      </c>
      <c r="L48" s="74">
        <f t="shared" si="2"/>
        <v>-17694.176855709731</v>
      </c>
      <c r="M48" s="74">
        <f t="shared" si="3"/>
        <v>5448860.5036067618</v>
      </c>
    </row>
    <row r="49" spans="8:19" x14ac:dyDescent="0.3">
      <c r="H49" s="209">
        <v>39</v>
      </c>
      <c r="I49" s="74">
        <f t="shared" si="4"/>
        <v>5448860.5036067618</v>
      </c>
      <c r="J49" s="74">
        <f t="shared" si="0"/>
        <v>-39059.294731850554</v>
      </c>
      <c r="K49" s="74">
        <f t="shared" si="1"/>
        <v>-21295.96313492976</v>
      </c>
      <c r="L49" s="74">
        <f t="shared" si="2"/>
        <v>-17763.331596920794</v>
      </c>
      <c r="M49" s="74">
        <f t="shared" si="3"/>
        <v>5431097.1720098406</v>
      </c>
    </row>
    <row r="50" spans="8:19" x14ac:dyDescent="0.3">
      <c r="H50" s="209">
        <v>40</v>
      </c>
      <c r="I50" s="74">
        <f t="shared" si="4"/>
        <v>5431097.1720098406</v>
      </c>
      <c r="J50" s="74">
        <f t="shared" si="0"/>
        <v>-39059.294731850554</v>
      </c>
      <c r="K50" s="74">
        <f t="shared" si="1"/>
        <v>-21226.538113938459</v>
      </c>
      <c r="L50" s="74">
        <f t="shared" si="2"/>
        <v>-17832.756617912095</v>
      </c>
      <c r="M50" s="74">
        <f t="shared" si="3"/>
        <v>5413264.4153919285</v>
      </c>
    </row>
    <row r="51" spans="8:19" x14ac:dyDescent="0.3">
      <c r="H51" s="209">
        <v>41</v>
      </c>
      <c r="I51" s="74">
        <f t="shared" si="4"/>
        <v>5413264.4153919285</v>
      </c>
      <c r="J51" s="74">
        <f t="shared" si="0"/>
        <v>-39059.294731850554</v>
      </c>
      <c r="K51" s="74">
        <f t="shared" si="1"/>
        <v>-21156.841756823454</v>
      </c>
      <c r="L51" s="74">
        <f t="shared" si="2"/>
        <v>-17902.452975027099</v>
      </c>
      <c r="M51" s="74">
        <f t="shared" si="3"/>
        <v>5395361.9624169013</v>
      </c>
    </row>
    <row r="52" spans="8:19" x14ac:dyDescent="0.3">
      <c r="H52" s="209">
        <v>42</v>
      </c>
      <c r="I52" s="74">
        <f t="shared" si="4"/>
        <v>5395361.9624169013</v>
      </c>
      <c r="J52" s="74">
        <f t="shared" si="0"/>
        <v>-39059.294731850554</v>
      </c>
      <c r="K52" s="74">
        <f t="shared" si="1"/>
        <v>-21086.87300311272</v>
      </c>
      <c r="L52" s="74">
        <f t="shared" si="2"/>
        <v>-17972.421728737834</v>
      </c>
      <c r="M52" s="74">
        <f t="shared" si="3"/>
        <v>5377389.5406881636</v>
      </c>
    </row>
    <row r="53" spans="8:19" x14ac:dyDescent="0.3">
      <c r="H53" s="209">
        <v>43</v>
      </c>
      <c r="I53" s="74">
        <f t="shared" si="4"/>
        <v>5377389.5406881636</v>
      </c>
      <c r="J53" s="74">
        <f t="shared" si="0"/>
        <v>-39059.294731850554</v>
      </c>
      <c r="K53" s="74">
        <f t="shared" si="1"/>
        <v>-21016.63078818957</v>
      </c>
      <c r="L53" s="74">
        <f t="shared" si="2"/>
        <v>-18042.663943660984</v>
      </c>
      <c r="M53" s="74">
        <f t="shared" si="3"/>
        <v>5359346.8767445022</v>
      </c>
    </row>
    <row r="54" spans="8:19" x14ac:dyDescent="0.3">
      <c r="H54" s="209">
        <v>44</v>
      </c>
      <c r="I54" s="74">
        <f t="shared" si="4"/>
        <v>5359346.8767445022</v>
      </c>
      <c r="J54" s="74">
        <f t="shared" si="0"/>
        <v>-39059.294731850554</v>
      </c>
      <c r="K54" s="74">
        <f t="shared" si="1"/>
        <v>-20946.11404327643</v>
      </c>
      <c r="L54" s="74">
        <f t="shared" si="2"/>
        <v>-18113.180688574124</v>
      </c>
      <c r="M54" s="74">
        <f t="shared" si="3"/>
        <v>5341233.6960559282</v>
      </c>
    </row>
    <row r="55" spans="8:19" x14ac:dyDescent="0.3">
      <c r="H55" s="209">
        <v>45</v>
      </c>
      <c r="I55" s="74">
        <f t="shared" si="4"/>
        <v>5341233.6960559282</v>
      </c>
      <c r="J55" s="74">
        <f t="shared" si="0"/>
        <v>-39059.294731850554</v>
      </c>
      <c r="K55" s="74">
        <f t="shared" si="1"/>
        <v>-20875.321695418585</v>
      </c>
      <c r="L55" s="74">
        <f t="shared" si="2"/>
        <v>-18183.973036431969</v>
      </c>
      <c r="M55" s="74">
        <f t="shared" si="3"/>
        <v>5323049.7230194965</v>
      </c>
    </row>
    <row r="56" spans="8:19" x14ac:dyDescent="0.3">
      <c r="H56" s="209">
        <v>46</v>
      </c>
      <c r="I56" s="74">
        <f t="shared" si="4"/>
        <v>5323049.7230194965</v>
      </c>
      <c r="J56" s="74">
        <f t="shared" si="0"/>
        <v>-39059.294731850554</v>
      </c>
      <c r="K56" s="74">
        <f t="shared" si="1"/>
        <v>-20804.252667467863</v>
      </c>
      <c r="L56" s="74">
        <f t="shared" si="2"/>
        <v>-18255.042064382691</v>
      </c>
      <c r="M56" s="74">
        <f t="shared" si="3"/>
        <v>5304794.6809551138</v>
      </c>
    </row>
    <row r="57" spans="8:19" x14ac:dyDescent="0.3">
      <c r="H57" s="209">
        <v>47</v>
      </c>
      <c r="I57" s="74">
        <f t="shared" si="4"/>
        <v>5304794.6809551138</v>
      </c>
      <c r="J57" s="74">
        <f t="shared" si="0"/>
        <v>-39059.294731850554</v>
      </c>
      <c r="K57" s="74">
        <f t="shared" si="1"/>
        <v>-20732.905878066234</v>
      </c>
      <c r="L57" s="74">
        <f t="shared" si="2"/>
        <v>-18326.38885378432</v>
      </c>
      <c r="M57" s="74">
        <f t="shared" si="3"/>
        <v>5286468.2921013292</v>
      </c>
      <c r="O57" s="76" t="s">
        <v>191</v>
      </c>
      <c r="P57" s="76" t="s">
        <v>192</v>
      </c>
      <c r="Q57" s="76" t="s">
        <v>193</v>
      </c>
    </row>
    <row r="58" spans="8:19" x14ac:dyDescent="0.3">
      <c r="H58" s="209">
        <v>48</v>
      </c>
      <c r="I58" s="74">
        <f t="shared" si="4"/>
        <v>5286468.2921013292</v>
      </c>
      <c r="J58" s="74">
        <f t="shared" si="0"/>
        <v>-39059.294731850554</v>
      </c>
      <c r="K58" s="74">
        <f t="shared" si="1"/>
        <v>-20661.28024162936</v>
      </c>
      <c r="L58" s="74">
        <f t="shared" si="2"/>
        <v>-18398.014490221194</v>
      </c>
      <c r="M58" s="75">
        <f t="shared" si="3"/>
        <v>5268070.2776111076</v>
      </c>
      <c r="O58" s="74">
        <f>SUM(K47:K58)</f>
        <v>-252601.84258879593</v>
      </c>
      <c r="P58" s="74">
        <f>SUM(L47:L58)</f>
        <v>-216109.69419341072</v>
      </c>
      <c r="Q58" s="74">
        <f>SUM(J47:J58)</f>
        <v>-468711.53678220668</v>
      </c>
      <c r="S58" s="74"/>
    </row>
    <row r="59" spans="8:19" x14ac:dyDescent="0.3">
      <c r="H59" s="209">
        <v>49</v>
      </c>
      <c r="I59" s="74">
        <f t="shared" si="4"/>
        <v>5268070.2776111076</v>
      </c>
      <c r="J59" s="74">
        <f t="shared" si="0"/>
        <v>-39059.294731850554</v>
      </c>
      <c r="K59" s="74">
        <f t="shared" si="1"/>
        <v>-20589.374668330078</v>
      </c>
      <c r="L59" s="74">
        <f t="shared" si="2"/>
        <v>-18469.920063520476</v>
      </c>
      <c r="M59" s="74">
        <f t="shared" si="3"/>
        <v>5249600.3575475868</v>
      </c>
    </row>
    <row r="60" spans="8:19" x14ac:dyDescent="0.3">
      <c r="H60" s="209">
        <v>50</v>
      </c>
      <c r="I60" s="74">
        <f t="shared" si="4"/>
        <v>5249600.3575475868</v>
      </c>
      <c r="J60" s="74">
        <f t="shared" si="0"/>
        <v>-39059.294731850554</v>
      </c>
      <c r="K60" s="74">
        <f t="shared" si="1"/>
        <v>-20517.188064081816</v>
      </c>
      <c r="L60" s="74">
        <f t="shared" si="2"/>
        <v>-18542.106667768738</v>
      </c>
      <c r="M60" s="74">
        <f t="shared" si="3"/>
        <v>5231058.2508798176</v>
      </c>
    </row>
    <row r="61" spans="8:19" x14ac:dyDescent="0.3">
      <c r="H61" s="209">
        <v>51</v>
      </c>
      <c r="I61" s="74">
        <f t="shared" si="4"/>
        <v>5231058.2508798176</v>
      </c>
      <c r="J61" s="74">
        <f t="shared" si="0"/>
        <v>-39059.294731850554</v>
      </c>
      <c r="K61" s="74">
        <f t="shared" si="1"/>
        <v>-20444.719330521952</v>
      </c>
      <c r="L61" s="74">
        <f t="shared" si="2"/>
        <v>-18614.575401328602</v>
      </c>
      <c r="M61" s="74">
        <f t="shared" si="3"/>
        <v>5212443.6754784891</v>
      </c>
    </row>
    <row r="62" spans="8:19" x14ac:dyDescent="0.3">
      <c r="H62" s="209">
        <v>52</v>
      </c>
      <c r="I62" s="74">
        <f t="shared" si="4"/>
        <v>5212443.6754784891</v>
      </c>
      <c r="J62" s="74">
        <f t="shared" si="0"/>
        <v>-39059.294731850554</v>
      </c>
      <c r="K62" s="74">
        <f t="shared" si="1"/>
        <v>-20371.967364995093</v>
      </c>
      <c r="L62" s="74">
        <f t="shared" si="2"/>
        <v>-18687.327366855461</v>
      </c>
      <c r="M62" s="74">
        <f t="shared" si="3"/>
        <v>5193756.3481116332</v>
      </c>
    </row>
    <row r="63" spans="8:19" x14ac:dyDescent="0.3">
      <c r="H63" s="209">
        <v>53</v>
      </c>
      <c r="I63" s="74">
        <f t="shared" si="4"/>
        <v>5193756.3481116332</v>
      </c>
      <c r="J63" s="74">
        <f t="shared" si="0"/>
        <v>-39059.294731850554</v>
      </c>
      <c r="K63" s="74">
        <f t="shared" si="1"/>
        <v>-20298.931060536299</v>
      </c>
      <c r="L63" s="74">
        <f t="shared" si="2"/>
        <v>-18760.363671314255</v>
      </c>
      <c r="M63" s="74">
        <f t="shared" si="3"/>
        <v>5174995.9844403192</v>
      </c>
    </row>
    <row r="64" spans="8:19" x14ac:dyDescent="0.3">
      <c r="H64" s="209">
        <v>54</v>
      </c>
      <c r="I64" s="74">
        <f t="shared" si="4"/>
        <v>5174995.9844403192</v>
      </c>
      <c r="J64" s="74">
        <f t="shared" si="0"/>
        <v>-39059.294731850554</v>
      </c>
      <c r="K64" s="74">
        <f t="shared" si="1"/>
        <v>-20225.609305854246</v>
      </c>
      <c r="L64" s="74">
        <f t="shared" si="2"/>
        <v>-18833.685425996307</v>
      </c>
      <c r="M64" s="74">
        <f t="shared" si="3"/>
        <v>5156162.2990143234</v>
      </c>
    </row>
    <row r="65" spans="8:17" x14ac:dyDescent="0.3">
      <c r="H65" s="209">
        <v>55</v>
      </c>
      <c r="I65" s="74">
        <f t="shared" si="4"/>
        <v>5156162.2990143234</v>
      </c>
      <c r="J65" s="74">
        <f t="shared" si="0"/>
        <v>-39059.294731850554</v>
      </c>
      <c r="K65" s="74">
        <f t="shared" si="1"/>
        <v>-20152.000985314313</v>
      </c>
      <c r="L65" s="74">
        <f t="shared" si="2"/>
        <v>-18907.293746536241</v>
      </c>
      <c r="M65" s="74">
        <f t="shared" si="3"/>
        <v>5137255.0052677868</v>
      </c>
    </row>
    <row r="66" spans="8:17" x14ac:dyDescent="0.3">
      <c r="H66" s="209">
        <v>56</v>
      </c>
      <c r="I66" s="74">
        <f t="shared" si="4"/>
        <v>5137255.0052677868</v>
      </c>
      <c r="J66" s="74">
        <f t="shared" si="0"/>
        <v>-39059.294731850554</v>
      </c>
      <c r="K66" s="74">
        <f t="shared" si="1"/>
        <v>-20078.104978921598</v>
      </c>
      <c r="L66" s="74">
        <f t="shared" si="2"/>
        <v>-18981.189752928956</v>
      </c>
      <c r="M66" s="74">
        <f t="shared" si="3"/>
        <v>5118273.8155148579</v>
      </c>
    </row>
    <row r="67" spans="8:17" x14ac:dyDescent="0.3">
      <c r="H67" s="209">
        <v>57</v>
      </c>
      <c r="I67" s="74">
        <f t="shared" si="4"/>
        <v>5118273.8155148579</v>
      </c>
      <c r="J67" s="74">
        <f t="shared" si="0"/>
        <v>-39059.294731850554</v>
      </c>
      <c r="K67" s="74">
        <f t="shared" si="1"/>
        <v>-20003.920162303901</v>
      </c>
      <c r="L67" s="74">
        <f t="shared" si="2"/>
        <v>-19055.374569546653</v>
      </c>
      <c r="M67" s="74">
        <f t="shared" si="3"/>
        <v>5099218.4409453114</v>
      </c>
    </row>
    <row r="68" spans="8:17" x14ac:dyDescent="0.3">
      <c r="H68" s="209">
        <v>58</v>
      </c>
      <c r="I68" s="74">
        <f t="shared" si="4"/>
        <v>5099218.4409453114</v>
      </c>
      <c r="J68" s="74">
        <f t="shared" si="0"/>
        <v>-39059.294731850554</v>
      </c>
      <c r="K68" s="74">
        <f t="shared" si="1"/>
        <v>-19929.445406694591</v>
      </c>
      <c r="L68" s="74">
        <f t="shared" si="2"/>
        <v>-19129.849325155963</v>
      </c>
      <c r="M68" s="74">
        <f t="shared" si="3"/>
        <v>5080088.5916201556</v>
      </c>
    </row>
    <row r="69" spans="8:17" x14ac:dyDescent="0.3">
      <c r="H69" s="209">
        <v>59</v>
      </c>
      <c r="I69" s="74">
        <f t="shared" si="4"/>
        <v>5080088.5916201556</v>
      </c>
      <c r="J69" s="74">
        <f t="shared" si="0"/>
        <v>-39059.294731850554</v>
      </c>
      <c r="K69" s="74">
        <f t="shared" si="1"/>
        <v>-19854.679578915442</v>
      </c>
      <c r="L69" s="74">
        <f t="shared" si="2"/>
        <v>-19204.615152935112</v>
      </c>
      <c r="M69" s="74">
        <f t="shared" si="3"/>
        <v>5060883.9764672201</v>
      </c>
      <c r="O69" s="76" t="s">
        <v>191</v>
      </c>
      <c r="P69" s="76" t="s">
        <v>192</v>
      </c>
      <c r="Q69" s="76" t="s">
        <v>193</v>
      </c>
    </row>
    <row r="70" spans="8:17" x14ac:dyDescent="0.3">
      <c r="H70" s="209">
        <v>60</v>
      </c>
      <c r="I70" s="74">
        <f t="shared" si="4"/>
        <v>5060883.9764672201</v>
      </c>
      <c r="J70" s="74">
        <f t="shared" si="0"/>
        <v>-39059.294731850554</v>
      </c>
      <c r="K70" s="74">
        <f t="shared" si="1"/>
        <v>-19779.621541359385</v>
      </c>
      <c r="L70" s="74">
        <f t="shared" si="2"/>
        <v>-19279.673190491168</v>
      </c>
      <c r="M70" s="75">
        <f t="shared" si="3"/>
        <v>5041604.3032767288</v>
      </c>
      <c r="O70" s="74">
        <f>SUM(K59:K70)</f>
        <v>-242245.56244782871</v>
      </c>
      <c r="P70" s="74">
        <f>SUM(L59:L70)</f>
        <v>-226465.97433437794</v>
      </c>
      <c r="Q70" s="74">
        <f>SUM(J59:J70)</f>
        <v>-468711.53678220668</v>
      </c>
    </row>
    <row r="71" spans="8:17" x14ac:dyDescent="0.3">
      <c r="H71" s="209">
        <v>61</v>
      </c>
      <c r="I71" s="74">
        <f t="shared" si="4"/>
        <v>5041604.3032767288</v>
      </c>
      <c r="J71" s="74">
        <f t="shared" si="0"/>
        <v>-39059.294731850554</v>
      </c>
      <c r="K71" s="74">
        <f t="shared" si="1"/>
        <v>-19704.270151973215</v>
      </c>
      <c r="L71" s="74">
        <f t="shared" si="2"/>
        <v>-19355.024579877339</v>
      </c>
      <c r="M71" s="74">
        <f t="shared" si="3"/>
        <v>5022249.2786968518</v>
      </c>
    </row>
    <row r="72" spans="8:17" x14ac:dyDescent="0.3">
      <c r="H72" s="209">
        <v>62</v>
      </c>
      <c r="I72" s="74">
        <f t="shared" si="4"/>
        <v>5022249.2786968518</v>
      </c>
      <c r="J72" s="74">
        <f t="shared" si="0"/>
        <v>-39059.294731850554</v>
      </c>
      <c r="K72" s="74">
        <f t="shared" si="1"/>
        <v>-19628.624264240196</v>
      </c>
      <c r="L72" s="74">
        <f t="shared" si="2"/>
        <v>-19430.670467610358</v>
      </c>
      <c r="M72" s="74">
        <f t="shared" si="3"/>
        <v>5002818.6082292413</v>
      </c>
    </row>
    <row r="73" spans="8:17" x14ac:dyDescent="0.3">
      <c r="H73" s="209">
        <v>63</v>
      </c>
      <c r="I73" s="74">
        <f t="shared" si="4"/>
        <v>5002818.6082292413</v>
      </c>
      <c r="J73" s="74">
        <f t="shared" si="0"/>
        <v>-39059.294731850554</v>
      </c>
      <c r="K73" s="74">
        <f t="shared" si="1"/>
        <v>-19552.682727162617</v>
      </c>
      <c r="L73" s="74">
        <f t="shared" si="2"/>
        <v>-19506.612004687937</v>
      </c>
      <c r="M73" s="74">
        <f t="shared" si="3"/>
        <v>4983311.9962245533</v>
      </c>
    </row>
    <row r="74" spans="8:17" x14ac:dyDescent="0.3">
      <c r="H74" s="209">
        <v>64</v>
      </c>
      <c r="I74" s="74">
        <f t="shared" si="4"/>
        <v>4983311.9962245533</v>
      </c>
      <c r="J74" s="74">
        <f t="shared" si="0"/>
        <v>-39059.294731850554</v>
      </c>
      <c r="K74" s="74">
        <f t="shared" si="1"/>
        <v>-19476.444385244296</v>
      </c>
      <c r="L74" s="74">
        <f t="shared" si="2"/>
        <v>-19582.850346606258</v>
      </c>
      <c r="M74" s="74">
        <f t="shared" si="3"/>
        <v>4963729.1458779471</v>
      </c>
    </row>
    <row r="75" spans="8:17" x14ac:dyDescent="0.3">
      <c r="H75" s="209">
        <v>65</v>
      </c>
      <c r="I75" s="74">
        <f t="shared" si="4"/>
        <v>4963729.1458779471</v>
      </c>
      <c r="J75" s="74">
        <f t="shared" si="0"/>
        <v>-39059.294731850554</v>
      </c>
      <c r="K75" s="74">
        <f t="shared" si="1"/>
        <v>-19399.908078472974</v>
      </c>
      <c r="L75" s="74">
        <f t="shared" si="2"/>
        <v>-19659.38665337758</v>
      </c>
      <c r="M75" s="74">
        <f t="shared" si="3"/>
        <v>4944069.7592245694</v>
      </c>
    </row>
    <row r="76" spans="8:17" x14ac:dyDescent="0.3">
      <c r="H76" s="209">
        <v>66</v>
      </c>
      <c r="I76" s="74">
        <f t="shared" si="4"/>
        <v>4944069.7592245694</v>
      </c>
      <c r="J76" s="74">
        <f t="shared" ref="J76:J139" si="5">IF(AND($N$5,H76&lt;=$N$6),K76,PMT($H$6/$I$6,IF($N$5,$H$7-$N$6,$H$7),$H$5))</f>
        <v>-39059.294731850554</v>
      </c>
      <c r="K76" s="74">
        <f t="shared" ref="K76:K139" si="6">+$H$6/$I$6*M75*-1</f>
        <v>-19323.07264230269</v>
      </c>
      <c r="L76" s="74">
        <f t="shared" ref="L76:L139" si="7">J76-K76</f>
        <v>-19736.222089547864</v>
      </c>
      <c r="M76" s="74">
        <f t="shared" ref="M76:M139" si="8">I76+L76</f>
        <v>4924333.5371350218</v>
      </c>
    </row>
    <row r="77" spans="8:17" x14ac:dyDescent="0.3">
      <c r="H77" s="209">
        <v>67</v>
      </c>
      <c r="I77" s="74">
        <f t="shared" ref="I77:I140" si="9">M76</f>
        <v>4924333.5371350218</v>
      </c>
      <c r="J77" s="74">
        <f t="shared" si="5"/>
        <v>-39059.294731850554</v>
      </c>
      <c r="K77" s="74">
        <f t="shared" si="6"/>
        <v>-19245.936907636042</v>
      </c>
      <c r="L77" s="74">
        <f t="shared" si="7"/>
        <v>-19813.357824214512</v>
      </c>
      <c r="M77" s="74">
        <f t="shared" si="8"/>
        <v>4904520.179310807</v>
      </c>
    </row>
    <row r="78" spans="8:17" x14ac:dyDescent="0.3">
      <c r="H78" s="209">
        <v>68</v>
      </c>
      <c r="I78" s="74">
        <f t="shared" si="9"/>
        <v>4904520.179310807</v>
      </c>
      <c r="J78" s="74">
        <f t="shared" si="5"/>
        <v>-39059.294731850554</v>
      </c>
      <c r="K78" s="74">
        <f t="shared" si="6"/>
        <v>-19168.499700806402</v>
      </c>
      <c r="L78" s="74">
        <f t="shared" si="7"/>
        <v>-19890.795031044152</v>
      </c>
      <c r="M78" s="74">
        <f t="shared" si="8"/>
        <v>4884629.3842797633</v>
      </c>
    </row>
    <row r="79" spans="8:17" x14ac:dyDescent="0.3">
      <c r="H79" s="209">
        <v>69</v>
      </c>
      <c r="I79" s="74">
        <f t="shared" si="9"/>
        <v>4884629.3842797633</v>
      </c>
      <c r="J79" s="74">
        <f t="shared" si="5"/>
        <v>-39059.294731850554</v>
      </c>
      <c r="K79" s="74">
        <f t="shared" si="6"/>
        <v>-19090.759843560074</v>
      </c>
      <c r="L79" s="74">
        <f t="shared" si="7"/>
        <v>-19968.53488829048</v>
      </c>
      <c r="M79" s="74">
        <f t="shared" si="8"/>
        <v>4864660.8493914725</v>
      </c>
    </row>
    <row r="80" spans="8:17" x14ac:dyDescent="0.3">
      <c r="H80" s="209">
        <v>70</v>
      </c>
      <c r="I80" s="74">
        <f t="shared" si="9"/>
        <v>4864660.8493914725</v>
      </c>
      <c r="J80" s="74">
        <f t="shared" si="5"/>
        <v>-39059.294731850554</v>
      </c>
      <c r="K80" s="74">
        <f t="shared" si="6"/>
        <v>-19012.716153038338</v>
      </c>
      <c r="L80" s="74">
        <f t="shared" si="7"/>
        <v>-20046.578578812216</v>
      </c>
      <c r="M80" s="74">
        <f t="shared" si="8"/>
        <v>4844614.2708126605</v>
      </c>
    </row>
    <row r="81" spans="8:18" x14ac:dyDescent="0.3">
      <c r="H81" s="209">
        <v>71</v>
      </c>
      <c r="I81" s="74">
        <f t="shared" si="9"/>
        <v>4844614.2708126605</v>
      </c>
      <c r="J81" s="74">
        <f t="shared" si="5"/>
        <v>-39059.294731850554</v>
      </c>
      <c r="K81" s="74">
        <f t="shared" si="6"/>
        <v>-18934.367441759481</v>
      </c>
      <c r="L81" s="74">
        <f t="shared" si="7"/>
        <v>-20124.927290091073</v>
      </c>
      <c r="M81" s="74">
        <f t="shared" si="8"/>
        <v>4824489.3435225692</v>
      </c>
      <c r="O81" s="76" t="s">
        <v>191</v>
      </c>
      <c r="P81" s="76" t="s">
        <v>192</v>
      </c>
      <c r="Q81" s="76" t="s">
        <v>193</v>
      </c>
    </row>
    <row r="82" spans="8:18" x14ac:dyDescent="0.3">
      <c r="H82" s="209">
        <v>72</v>
      </c>
      <c r="I82" s="74">
        <f t="shared" si="9"/>
        <v>4824489.3435225692</v>
      </c>
      <c r="J82" s="74">
        <f t="shared" si="5"/>
        <v>-39059.294731850554</v>
      </c>
      <c r="K82" s="74">
        <f t="shared" si="6"/>
        <v>-18855.712517600707</v>
      </c>
      <c r="L82" s="74">
        <f t="shared" si="7"/>
        <v>-20203.582214249847</v>
      </c>
      <c r="M82" s="75">
        <f t="shared" si="8"/>
        <v>4804285.7613083189</v>
      </c>
      <c r="O82" s="74">
        <f>SUM(K71:K82)</f>
        <v>-231392.99481379704</v>
      </c>
      <c r="P82" s="74">
        <f>SUM(L71:L82)</f>
        <v>-237318.54196840958</v>
      </c>
      <c r="Q82" s="74">
        <f>SUM(J71:J82)</f>
        <v>-468711.53678220668</v>
      </c>
      <c r="R82" s="74"/>
    </row>
    <row r="83" spans="8:18" x14ac:dyDescent="0.3">
      <c r="H83" s="209">
        <v>73</v>
      </c>
      <c r="I83" s="74">
        <f t="shared" si="9"/>
        <v>4804285.7613083189</v>
      </c>
      <c r="J83" s="74">
        <f t="shared" si="5"/>
        <v>-39059.294731850554</v>
      </c>
      <c r="K83" s="74">
        <f t="shared" si="6"/>
        <v>-18776.750183780012</v>
      </c>
      <c r="L83" s="74">
        <f t="shared" si="7"/>
        <v>-20282.544548070542</v>
      </c>
      <c r="M83" s="74">
        <f t="shared" si="8"/>
        <v>4784003.2167602479</v>
      </c>
    </row>
    <row r="84" spans="8:18" x14ac:dyDescent="0.3">
      <c r="H84" s="209">
        <v>74</v>
      </c>
      <c r="I84" s="74">
        <f t="shared" si="9"/>
        <v>4784003.2167602479</v>
      </c>
      <c r="J84" s="74">
        <f t="shared" si="5"/>
        <v>-39059.294731850554</v>
      </c>
      <c r="K84" s="74">
        <f t="shared" si="6"/>
        <v>-18697.479238837968</v>
      </c>
      <c r="L84" s="74">
        <f t="shared" si="7"/>
        <v>-20361.815493012586</v>
      </c>
      <c r="M84" s="74">
        <f t="shared" si="8"/>
        <v>4763641.4012672352</v>
      </c>
    </row>
    <row r="85" spans="8:18" x14ac:dyDescent="0.3">
      <c r="H85" s="209">
        <v>75</v>
      </c>
      <c r="I85" s="74">
        <f t="shared" si="9"/>
        <v>4763641.4012672352</v>
      </c>
      <c r="J85" s="74">
        <f t="shared" si="5"/>
        <v>-39059.294731850554</v>
      </c>
      <c r="K85" s="74">
        <f t="shared" si="6"/>
        <v>-18617.898476619444</v>
      </c>
      <c r="L85" s="74">
        <f t="shared" si="7"/>
        <v>-20441.39625523111</v>
      </c>
      <c r="M85" s="74">
        <f t="shared" si="8"/>
        <v>4743200.0050120037</v>
      </c>
    </row>
    <row r="86" spans="8:18" x14ac:dyDescent="0.3">
      <c r="H86" s="209">
        <v>76</v>
      </c>
      <c r="I86" s="74">
        <f t="shared" si="9"/>
        <v>4743200.0050120037</v>
      </c>
      <c r="J86" s="74">
        <f t="shared" si="5"/>
        <v>-39059.294731850554</v>
      </c>
      <c r="K86" s="74">
        <f t="shared" si="6"/>
        <v>-18538.006686255248</v>
      </c>
      <c r="L86" s="74">
        <f t="shared" si="7"/>
        <v>-20521.288045595305</v>
      </c>
      <c r="M86" s="74">
        <f t="shared" si="8"/>
        <v>4722678.7169664083</v>
      </c>
    </row>
    <row r="87" spans="8:18" x14ac:dyDescent="0.3">
      <c r="H87" s="209">
        <v>77</v>
      </c>
      <c r="I87" s="74">
        <f t="shared" si="9"/>
        <v>4722678.7169664083</v>
      </c>
      <c r="J87" s="74">
        <f t="shared" si="5"/>
        <v>-39059.294731850554</v>
      </c>
      <c r="K87" s="74">
        <f t="shared" si="6"/>
        <v>-18457.80265214371</v>
      </c>
      <c r="L87" s="74">
        <f t="shared" si="7"/>
        <v>-20601.492079706844</v>
      </c>
      <c r="M87" s="74">
        <f t="shared" si="8"/>
        <v>4702077.2248867014</v>
      </c>
    </row>
    <row r="88" spans="8:18" x14ac:dyDescent="0.3">
      <c r="H88" s="209">
        <v>78</v>
      </c>
      <c r="I88" s="74">
        <f t="shared" si="9"/>
        <v>4702077.2248867014</v>
      </c>
      <c r="J88" s="74">
        <f t="shared" si="5"/>
        <v>-39059.294731850554</v>
      </c>
      <c r="K88" s="74">
        <f t="shared" si="6"/>
        <v>-18377.285153932189</v>
      </c>
      <c r="L88" s="74">
        <f t="shared" si="7"/>
        <v>-20682.009577918365</v>
      </c>
      <c r="M88" s="74">
        <f t="shared" si="8"/>
        <v>4681395.2153087826</v>
      </c>
    </row>
    <row r="89" spans="8:18" x14ac:dyDescent="0.3">
      <c r="H89" s="209">
        <v>79</v>
      </c>
      <c r="I89" s="74">
        <f t="shared" si="9"/>
        <v>4681395.2153087826</v>
      </c>
      <c r="J89" s="74">
        <f t="shared" si="5"/>
        <v>-39059.294731850554</v>
      </c>
      <c r="K89" s="74">
        <f t="shared" si="6"/>
        <v>-18296.452966498491</v>
      </c>
      <c r="L89" s="74">
        <f t="shared" si="7"/>
        <v>-20762.841765352063</v>
      </c>
      <c r="M89" s="74">
        <f t="shared" si="8"/>
        <v>4660632.3735434301</v>
      </c>
    </row>
    <row r="90" spans="8:18" x14ac:dyDescent="0.3">
      <c r="H90" s="209">
        <v>80</v>
      </c>
      <c r="I90" s="74">
        <f t="shared" si="9"/>
        <v>4660632.3735434301</v>
      </c>
      <c r="J90" s="74">
        <f t="shared" si="5"/>
        <v>-39059.294731850554</v>
      </c>
      <c r="K90" s="74">
        <f t="shared" si="6"/>
        <v>-18215.304859932239</v>
      </c>
      <c r="L90" s="74">
        <f t="shared" si="7"/>
        <v>-20843.989871918315</v>
      </c>
      <c r="M90" s="74">
        <f t="shared" si="8"/>
        <v>4639788.3836715119</v>
      </c>
    </row>
    <row r="91" spans="8:18" x14ac:dyDescent="0.3">
      <c r="H91" s="209">
        <v>81</v>
      </c>
      <c r="I91" s="74">
        <f t="shared" si="9"/>
        <v>4639788.3836715119</v>
      </c>
      <c r="J91" s="74">
        <f t="shared" si="5"/>
        <v>-39059.294731850554</v>
      </c>
      <c r="K91" s="74">
        <f t="shared" si="6"/>
        <v>-18133.839599516159</v>
      </c>
      <c r="L91" s="74">
        <f t="shared" si="7"/>
        <v>-20925.455132334395</v>
      </c>
      <c r="M91" s="74">
        <f t="shared" si="8"/>
        <v>4618862.9285391774</v>
      </c>
    </row>
    <row r="92" spans="8:18" x14ac:dyDescent="0.3">
      <c r="H92" s="209">
        <v>82</v>
      </c>
      <c r="I92" s="74">
        <f t="shared" si="9"/>
        <v>4618862.9285391774</v>
      </c>
      <c r="J92" s="74">
        <f t="shared" si="5"/>
        <v>-39059.294731850554</v>
      </c>
      <c r="K92" s="74">
        <f t="shared" si="6"/>
        <v>-18052.055945707285</v>
      </c>
      <c r="L92" s="74">
        <f t="shared" si="7"/>
        <v>-21007.238786143269</v>
      </c>
      <c r="M92" s="74">
        <f t="shared" si="8"/>
        <v>4597855.6897530342</v>
      </c>
    </row>
    <row r="93" spans="8:18" x14ac:dyDescent="0.3">
      <c r="H93" s="209">
        <v>83</v>
      </c>
      <c r="I93" s="74">
        <f t="shared" si="9"/>
        <v>4597855.6897530342</v>
      </c>
      <c r="J93" s="74">
        <f t="shared" si="5"/>
        <v>-39059.294731850554</v>
      </c>
      <c r="K93" s="74">
        <f t="shared" si="6"/>
        <v>-17969.952654118108</v>
      </c>
      <c r="L93" s="74">
        <f t="shared" si="7"/>
        <v>-21089.342077732446</v>
      </c>
      <c r="M93" s="74">
        <f t="shared" si="8"/>
        <v>4576766.3476753021</v>
      </c>
      <c r="O93" s="76" t="s">
        <v>191</v>
      </c>
      <c r="P93" s="76" t="s">
        <v>192</v>
      </c>
      <c r="Q93" s="76" t="s">
        <v>193</v>
      </c>
    </row>
    <row r="94" spans="8:18" x14ac:dyDescent="0.3">
      <c r="H94" s="209">
        <v>84</v>
      </c>
      <c r="I94" s="74">
        <f t="shared" si="9"/>
        <v>4576766.3476753021</v>
      </c>
      <c r="J94" s="74">
        <f t="shared" si="5"/>
        <v>-39059.294731850554</v>
      </c>
      <c r="K94" s="74">
        <f t="shared" si="6"/>
        <v>-17887.528475497638</v>
      </c>
      <c r="L94" s="74">
        <f t="shared" si="7"/>
        <v>-21171.766256352916</v>
      </c>
      <c r="M94" s="75">
        <f t="shared" si="8"/>
        <v>4555594.5814189492</v>
      </c>
      <c r="O94" s="74">
        <f>SUM(K83:K94)</f>
        <v>-220020.35689283849</v>
      </c>
      <c r="P94" s="74">
        <f>SUM(L83:L94)</f>
        <v>-248691.17988936818</v>
      </c>
      <c r="Q94" s="74">
        <f>SUM(J83:J94)</f>
        <v>-468711.53678220668</v>
      </c>
      <c r="R94" s="74"/>
    </row>
    <row r="95" spans="8:18" x14ac:dyDescent="0.3">
      <c r="H95" s="209">
        <v>85</v>
      </c>
      <c r="I95" s="74">
        <f t="shared" si="9"/>
        <v>4555594.5814189492</v>
      </c>
      <c r="J95" s="74">
        <f t="shared" si="5"/>
        <v>-39059.294731850554</v>
      </c>
      <c r="K95" s="74">
        <f t="shared" si="6"/>
        <v>-17804.782155712393</v>
      </c>
      <c r="L95" s="74">
        <f t="shared" si="7"/>
        <v>-21254.512576138161</v>
      </c>
      <c r="M95" s="74">
        <f t="shared" si="8"/>
        <v>4534340.0688428106</v>
      </c>
    </row>
    <row r="96" spans="8:18" x14ac:dyDescent="0.3">
      <c r="H96" s="209">
        <v>86</v>
      </c>
      <c r="I96" s="74">
        <f t="shared" si="9"/>
        <v>4534340.0688428106</v>
      </c>
      <c r="J96" s="74">
        <f t="shared" si="5"/>
        <v>-39059.294731850554</v>
      </c>
      <c r="K96" s="74">
        <f t="shared" si="6"/>
        <v>-17721.712435727317</v>
      </c>
      <c r="L96" s="74">
        <f t="shared" si="7"/>
        <v>-21337.582296123237</v>
      </c>
      <c r="M96" s="74">
        <f t="shared" si="8"/>
        <v>4513002.4865466878</v>
      </c>
    </row>
    <row r="97" spans="8:17" x14ac:dyDescent="0.3">
      <c r="H97" s="209">
        <v>87</v>
      </c>
      <c r="I97" s="74">
        <f t="shared" si="9"/>
        <v>4513002.4865466878</v>
      </c>
      <c r="J97" s="74">
        <f t="shared" si="5"/>
        <v>-39059.294731850554</v>
      </c>
      <c r="K97" s="74">
        <f t="shared" si="6"/>
        <v>-17638.318051586637</v>
      </c>
      <c r="L97" s="74">
        <f t="shared" si="7"/>
        <v>-21420.976680263917</v>
      </c>
      <c r="M97" s="74">
        <f t="shared" si="8"/>
        <v>4491581.5098664239</v>
      </c>
    </row>
    <row r="98" spans="8:17" x14ac:dyDescent="0.3">
      <c r="H98" s="209">
        <v>88</v>
      </c>
      <c r="I98" s="74">
        <f t="shared" si="9"/>
        <v>4491581.5098664239</v>
      </c>
      <c r="J98" s="74">
        <f t="shared" si="5"/>
        <v>-39059.294731850554</v>
      </c>
      <c r="K98" s="74">
        <f t="shared" si="6"/>
        <v>-17554.597734394607</v>
      </c>
      <c r="L98" s="74">
        <f t="shared" si="7"/>
        <v>-21504.696997455947</v>
      </c>
      <c r="M98" s="74">
        <f t="shared" si="8"/>
        <v>4470076.8128689677</v>
      </c>
    </row>
    <row r="99" spans="8:17" x14ac:dyDescent="0.3">
      <c r="H99" s="209">
        <v>89</v>
      </c>
      <c r="I99" s="74">
        <f t="shared" si="9"/>
        <v>4470076.8128689677</v>
      </c>
      <c r="J99" s="74">
        <f t="shared" si="5"/>
        <v>-39059.294731850554</v>
      </c>
      <c r="K99" s="74">
        <f t="shared" si="6"/>
        <v>-17470.550210296213</v>
      </c>
      <c r="L99" s="74">
        <f t="shared" si="7"/>
        <v>-21588.744521554341</v>
      </c>
      <c r="M99" s="74">
        <f t="shared" si="8"/>
        <v>4448488.0683474131</v>
      </c>
    </row>
    <row r="100" spans="8:17" x14ac:dyDescent="0.3">
      <c r="H100" s="209">
        <v>90</v>
      </c>
      <c r="I100" s="74">
        <f t="shared" si="9"/>
        <v>4448488.0683474131</v>
      </c>
      <c r="J100" s="74">
        <f t="shared" si="5"/>
        <v>-39059.294731850554</v>
      </c>
      <c r="K100" s="74">
        <f t="shared" si="6"/>
        <v>-17386.174200457805</v>
      </c>
      <c r="L100" s="74">
        <f t="shared" si="7"/>
        <v>-21673.120531392749</v>
      </c>
      <c r="M100" s="74">
        <f t="shared" si="8"/>
        <v>4426814.9478160199</v>
      </c>
    </row>
    <row r="101" spans="8:17" x14ac:dyDescent="0.3">
      <c r="H101" s="209">
        <v>91</v>
      </c>
      <c r="I101" s="74">
        <f t="shared" si="9"/>
        <v>4426814.9478160199</v>
      </c>
      <c r="J101" s="74">
        <f t="shared" si="5"/>
        <v>-39059.294731850554</v>
      </c>
      <c r="K101" s="74">
        <f t="shared" si="6"/>
        <v>-17301.468421047612</v>
      </c>
      <c r="L101" s="74">
        <f t="shared" si="7"/>
        <v>-21757.826310802942</v>
      </c>
      <c r="M101" s="74">
        <f t="shared" si="8"/>
        <v>4405057.1215052167</v>
      </c>
    </row>
    <row r="102" spans="8:17" x14ac:dyDescent="0.3">
      <c r="H102" s="209">
        <v>92</v>
      </c>
      <c r="I102" s="74">
        <f t="shared" si="9"/>
        <v>4405057.1215052167</v>
      </c>
      <c r="J102" s="74">
        <f t="shared" si="5"/>
        <v>-39059.294731850554</v>
      </c>
      <c r="K102" s="74">
        <f t="shared" si="6"/>
        <v>-17216.431583216221</v>
      </c>
      <c r="L102" s="74">
        <f t="shared" si="7"/>
        <v>-21842.863148634333</v>
      </c>
      <c r="M102" s="74">
        <f t="shared" si="8"/>
        <v>4383214.2583565824</v>
      </c>
    </row>
    <row r="103" spans="8:17" x14ac:dyDescent="0.3">
      <c r="H103" s="209">
        <v>93</v>
      </c>
      <c r="I103" s="74">
        <f t="shared" si="9"/>
        <v>4383214.2583565824</v>
      </c>
      <c r="J103" s="74">
        <f t="shared" si="5"/>
        <v>-39059.294731850554</v>
      </c>
      <c r="K103" s="74">
        <f t="shared" si="6"/>
        <v>-17131.062393076976</v>
      </c>
      <c r="L103" s="74">
        <f t="shared" si="7"/>
        <v>-21928.232338773578</v>
      </c>
      <c r="M103" s="74">
        <f t="shared" si="8"/>
        <v>4361286.0260178084</v>
      </c>
    </row>
    <row r="104" spans="8:17" x14ac:dyDescent="0.3">
      <c r="H104" s="209">
        <v>94</v>
      </c>
      <c r="I104" s="74">
        <f t="shared" si="9"/>
        <v>4361286.0260178084</v>
      </c>
      <c r="J104" s="74">
        <f t="shared" si="5"/>
        <v>-39059.294731850554</v>
      </c>
      <c r="K104" s="74">
        <f t="shared" si="6"/>
        <v>-17045.359551686266</v>
      </c>
      <c r="L104" s="74">
        <f t="shared" si="7"/>
        <v>-22013.935180164288</v>
      </c>
      <c r="M104" s="74">
        <f t="shared" si="8"/>
        <v>4339272.0908376444</v>
      </c>
    </row>
    <row r="105" spans="8:17" x14ac:dyDescent="0.3">
      <c r="H105" s="209">
        <v>95</v>
      </c>
      <c r="I105" s="74">
        <f t="shared" si="9"/>
        <v>4339272.0908376444</v>
      </c>
      <c r="J105" s="74">
        <f t="shared" si="5"/>
        <v>-39059.294731850554</v>
      </c>
      <c r="K105" s="74">
        <f t="shared" si="6"/>
        <v>-16959.321755023793</v>
      </c>
      <c r="L105" s="74">
        <f t="shared" si="7"/>
        <v>-22099.972976826761</v>
      </c>
      <c r="M105" s="74">
        <f t="shared" si="8"/>
        <v>4317172.1178608174</v>
      </c>
      <c r="O105" s="76" t="s">
        <v>191</v>
      </c>
      <c r="P105" s="76" t="s">
        <v>192</v>
      </c>
      <c r="Q105" s="76" t="s">
        <v>193</v>
      </c>
    </row>
    <row r="106" spans="8:17" x14ac:dyDescent="0.3">
      <c r="H106" s="209">
        <v>96</v>
      </c>
      <c r="I106" s="74">
        <f t="shared" si="9"/>
        <v>4317172.1178608174</v>
      </c>
      <c r="J106" s="74">
        <f t="shared" si="5"/>
        <v>-39059.294731850554</v>
      </c>
      <c r="K106" s="74">
        <f t="shared" si="6"/>
        <v>-16872.947693972692</v>
      </c>
      <c r="L106" s="74">
        <f t="shared" si="7"/>
        <v>-22186.347037877862</v>
      </c>
      <c r="M106" s="75">
        <f t="shared" si="8"/>
        <v>4294985.7708229395</v>
      </c>
      <c r="O106" s="74">
        <f>SUM(K95:K106)</f>
        <v>-208102.72618619853</v>
      </c>
      <c r="P106" s="74">
        <f>SUM(L95:L106)</f>
        <v>-260608.81059600812</v>
      </c>
      <c r="Q106" s="74">
        <f>SUM(J95:J106)</f>
        <v>-468711.53678220668</v>
      </c>
    </row>
    <row r="107" spans="8:17" x14ac:dyDescent="0.3">
      <c r="H107" s="209">
        <v>97</v>
      </c>
      <c r="I107" s="74">
        <f t="shared" si="9"/>
        <v>4294985.7708229395</v>
      </c>
      <c r="J107" s="74">
        <f t="shared" si="5"/>
        <v>-39059.294731850554</v>
      </c>
      <c r="K107" s="74">
        <f t="shared" si="6"/>
        <v>-16786.236054299654</v>
      </c>
      <c r="L107" s="74">
        <f t="shared" si="7"/>
        <v>-22273.0586775509</v>
      </c>
      <c r="M107" s="74">
        <f t="shared" si="8"/>
        <v>4272712.7121453881</v>
      </c>
    </row>
    <row r="108" spans="8:17" x14ac:dyDescent="0.3">
      <c r="H108" s="209">
        <v>98</v>
      </c>
      <c r="I108" s="74">
        <f t="shared" si="9"/>
        <v>4272712.7121453881</v>
      </c>
      <c r="J108" s="74">
        <f t="shared" si="5"/>
        <v>-39059.294731850554</v>
      </c>
      <c r="K108" s="74">
        <f t="shared" si="6"/>
        <v>-16699.185516634891</v>
      </c>
      <c r="L108" s="74">
        <f t="shared" si="7"/>
        <v>-22360.109215215663</v>
      </c>
      <c r="M108" s="74">
        <f t="shared" si="8"/>
        <v>4250352.6029301723</v>
      </c>
    </row>
    <row r="109" spans="8:17" x14ac:dyDescent="0.3">
      <c r="H109" s="209">
        <v>99</v>
      </c>
      <c r="I109" s="74">
        <f t="shared" si="9"/>
        <v>4250352.6029301723</v>
      </c>
      <c r="J109" s="74">
        <f t="shared" si="5"/>
        <v>-39059.294731850554</v>
      </c>
      <c r="K109" s="74">
        <f t="shared" si="6"/>
        <v>-16611.794756452091</v>
      </c>
      <c r="L109" s="74">
        <f t="shared" si="7"/>
        <v>-22447.499975398463</v>
      </c>
      <c r="M109" s="74">
        <f t="shared" si="8"/>
        <v>4227905.1029547742</v>
      </c>
    </row>
    <row r="110" spans="8:17" x14ac:dyDescent="0.3">
      <c r="H110" s="209">
        <v>100</v>
      </c>
      <c r="I110" s="74">
        <f t="shared" si="9"/>
        <v>4227905.1029547742</v>
      </c>
      <c r="J110" s="74">
        <f t="shared" si="5"/>
        <v>-39059.294731850554</v>
      </c>
      <c r="K110" s="74">
        <f t="shared" si="6"/>
        <v>-16524.062444048242</v>
      </c>
      <c r="L110" s="74">
        <f t="shared" si="7"/>
        <v>-22535.232287802311</v>
      </c>
      <c r="M110" s="74">
        <f t="shared" si="8"/>
        <v>4205369.8706669714</v>
      </c>
    </row>
    <row r="111" spans="8:17" x14ac:dyDescent="0.3">
      <c r="H111" s="209">
        <v>101</v>
      </c>
      <c r="I111" s="74">
        <f t="shared" si="9"/>
        <v>4205369.8706669714</v>
      </c>
      <c r="J111" s="74">
        <f t="shared" si="5"/>
        <v>-39059.294731850554</v>
      </c>
      <c r="K111" s="74">
        <f t="shared" si="6"/>
        <v>-16435.987244523414</v>
      </c>
      <c r="L111" s="74">
        <f t="shared" si="7"/>
        <v>-22623.30748732714</v>
      </c>
      <c r="M111" s="74">
        <f t="shared" si="8"/>
        <v>4182746.5631796443</v>
      </c>
    </row>
    <row r="112" spans="8:17" x14ac:dyDescent="0.3">
      <c r="H112" s="209">
        <v>102</v>
      </c>
      <c r="I112" s="74">
        <f t="shared" si="9"/>
        <v>4182746.5631796443</v>
      </c>
      <c r="J112" s="74">
        <f t="shared" si="5"/>
        <v>-39059.294731850554</v>
      </c>
      <c r="K112" s="74">
        <f t="shared" si="6"/>
        <v>-16347.567817760442</v>
      </c>
      <c r="L112" s="74">
        <f t="shared" si="7"/>
        <v>-22711.726914090112</v>
      </c>
      <c r="M112" s="74">
        <f t="shared" si="8"/>
        <v>4160034.8362655542</v>
      </c>
    </row>
    <row r="113" spans="8:18" x14ac:dyDescent="0.3">
      <c r="H113" s="209">
        <v>103</v>
      </c>
      <c r="I113" s="74">
        <f t="shared" si="9"/>
        <v>4160034.8362655542</v>
      </c>
      <c r="J113" s="74">
        <f t="shared" si="5"/>
        <v>-39059.294731850554</v>
      </c>
      <c r="K113" s="74">
        <f t="shared" si="6"/>
        <v>-16258.80281840454</v>
      </c>
      <c r="L113" s="74">
        <f t="shared" si="7"/>
        <v>-22800.491913446014</v>
      </c>
      <c r="M113" s="74">
        <f t="shared" si="8"/>
        <v>4137234.344352108</v>
      </c>
    </row>
    <row r="114" spans="8:18" x14ac:dyDescent="0.3">
      <c r="H114" s="209">
        <v>104</v>
      </c>
      <c r="I114" s="74">
        <f t="shared" si="9"/>
        <v>4137234.344352108</v>
      </c>
      <c r="J114" s="74">
        <f t="shared" si="5"/>
        <v>-39059.294731850554</v>
      </c>
      <c r="K114" s="74">
        <f t="shared" si="6"/>
        <v>-16169.690895842821</v>
      </c>
      <c r="L114" s="74">
        <f t="shared" si="7"/>
        <v>-22889.603836007733</v>
      </c>
      <c r="M114" s="74">
        <f t="shared" si="8"/>
        <v>4114344.7405161001</v>
      </c>
    </row>
    <row r="115" spans="8:18" x14ac:dyDescent="0.3">
      <c r="H115" s="209">
        <v>105</v>
      </c>
      <c r="I115" s="74">
        <f t="shared" si="9"/>
        <v>4114344.7405161001</v>
      </c>
      <c r="J115" s="74">
        <f t="shared" si="5"/>
        <v>-39059.294731850554</v>
      </c>
      <c r="K115" s="74">
        <f t="shared" si="6"/>
        <v>-16080.230694183756</v>
      </c>
      <c r="L115" s="74">
        <f t="shared" si="7"/>
        <v>-22979.064037666798</v>
      </c>
      <c r="M115" s="74">
        <f t="shared" si="8"/>
        <v>4091365.6764784334</v>
      </c>
    </row>
    <row r="116" spans="8:18" x14ac:dyDescent="0.3">
      <c r="H116" s="209">
        <v>106</v>
      </c>
      <c r="I116" s="74">
        <f t="shared" si="9"/>
        <v>4091365.6764784334</v>
      </c>
      <c r="J116" s="74">
        <f t="shared" si="5"/>
        <v>-39059.294731850554</v>
      </c>
      <c r="K116" s="74">
        <f t="shared" si="6"/>
        <v>-15990.420852236542</v>
      </c>
      <c r="L116" s="74">
        <f t="shared" si="7"/>
        <v>-23068.87387961401</v>
      </c>
      <c r="M116" s="74">
        <f t="shared" si="8"/>
        <v>4068296.8025988196</v>
      </c>
    </row>
    <row r="117" spans="8:18" x14ac:dyDescent="0.3">
      <c r="H117" s="209">
        <v>107</v>
      </c>
      <c r="I117" s="74">
        <f t="shared" si="9"/>
        <v>4068296.8025988196</v>
      </c>
      <c r="J117" s="74">
        <f t="shared" si="5"/>
        <v>-39059.294731850554</v>
      </c>
      <c r="K117" s="74">
        <f t="shared" si="6"/>
        <v>-15900.260003490386</v>
      </c>
      <c r="L117" s="74">
        <f t="shared" si="7"/>
        <v>-23159.034728360166</v>
      </c>
      <c r="M117" s="74">
        <f t="shared" si="8"/>
        <v>4045137.7678704592</v>
      </c>
      <c r="O117" s="76" t="s">
        <v>191</v>
      </c>
      <c r="P117" s="76" t="s">
        <v>192</v>
      </c>
      <c r="Q117" s="76" t="s">
        <v>193</v>
      </c>
    </row>
    <row r="118" spans="8:18" x14ac:dyDescent="0.3">
      <c r="H118" s="209">
        <v>108</v>
      </c>
      <c r="I118" s="74">
        <f t="shared" si="9"/>
        <v>4045137.7678704592</v>
      </c>
      <c r="J118" s="74">
        <f t="shared" si="5"/>
        <v>-39059.294731850554</v>
      </c>
      <c r="K118" s="74">
        <f t="shared" si="6"/>
        <v>-15809.746776093711</v>
      </c>
      <c r="L118" s="74">
        <f t="shared" si="7"/>
        <v>-23249.547955756843</v>
      </c>
      <c r="M118" s="75">
        <f t="shared" si="8"/>
        <v>4021888.2199147022</v>
      </c>
      <c r="O118" s="74">
        <f>SUM(K107:K118)</f>
        <v>-195613.98587397047</v>
      </c>
      <c r="P118" s="74">
        <f>SUM(L107:L118)</f>
        <v>-273097.55090823618</v>
      </c>
      <c r="Q118" s="74">
        <f>SUM(J107:J118)</f>
        <v>-468711.53678220668</v>
      </c>
      <c r="R118" s="74"/>
    </row>
    <row r="119" spans="8:18" x14ac:dyDescent="0.3">
      <c r="H119" s="209">
        <v>109</v>
      </c>
      <c r="I119" s="74">
        <f t="shared" si="9"/>
        <v>4021888.2199147022</v>
      </c>
      <c r="J119" s="74">
        <f t="shared" si="5"/>
        <v>-39059.294731850554</v>
      </c>
      <c r="K119" s="74">
        <f t="shared" si="6"/>
        <v>-15718.879792833293</v>
      </c>
      <c r="L119" s="74">
        <f t="shared" si="7"/>
        <v>-23340.414939017261</v>
      </c>
      <c r="M119" s="74">
        <f t="shared" si="8"/>
        <v>3998547.8049756852</v>
      </c>
    </row>
    <row r="120" spans="8:18" x14ac:dyDescent="0.3">
      <c r="H120" s="209">
        <v>110</v>
      </c>
      <c r="I120" s="74">
        <f t="shared" si="9"/>
        <v>3998547.8049756852</v>
      </c>
      <c r="J120" s="74">
        <f t="shared" si="5"/>
        <v>-39059.294731850554</v>
      </c>
      <c r="K120" s="74">
        <f t="shared" si="6"/>
        <v>-15627.657671113302</v>
      </c>
      <c r="L120" s="74">
        <f t="shared" si="7"/>
        <v>-23431.637060737252</v>
      </c>
      <c r="M120" s="74">
        <f t="shared" si="8"/>
        <v>3975116.167914948</v>
      </c>
    </row>
    <row r="121" spans="8:18" x14ac:dyDescent="0.3">
      <c r="H121" s="209">
        <v>111</v>
      </c>
      <c r="I121" s="74">
        <f t="shared" si="9"/>
        <v>3975116.167914948</v>
      </c>
      <c r="J121" s="74">
        <f t="shared" si="5"/>
        <v>-39059.294731850554</v>
      </c>
      <c r="K121" s="74">
        <f t="shared" si="6"/>
        <v>-15536.079022934255</v>
      </c>
      <c r="L121" s="74">
        <f t="shared" si="7"/>
        <v>-23523.215708916301</v>
      </c>
      <c r="M121" s="74">
        <f t="shared" si="8"/>
        <v>3951592.9522060319</v>
      </c>
    </row>
    <row r="122" spans="8:18" x14ac:dyDescent="0.3">
      <c r="H122" s="209">
        <v>112</v>
      </c>
      <c r="I122" s="74">
        <f t="shared" si="9"/>
        <v>3951592.9522060319</v>
      </c>
      <c r="J122" s="74">
        <f t="shared" si="5"/>
        <v>-39059.294731850554</v>
      </c>
      <c r="K122" s="74">
        <f t="shared" si="6"/>
        <v>-15444.142454871908</v>
      </c>
      <c r="L122" s="74">
        <f t="shared" si="7"/>
        <v>-23615.152276978646</v>
      </c>
      <c r="M122" s="74">
        <f t="shared" si="8"/>
        <v>3927977.7999290531</v>
      </c>
    </row>
    <row r="123" spans="8:18" x14ac:dyDescent="0.3">
      <c r="H123" s="209">
        <v>113</v>
      </c>
      <c r="I123" s="74">
        <f t="shared" si="9"/>
        <v>3927977.7999290531</v>
      </c>
      <c r="J123" s="74">
        <f t="shared" si="5"/>
        <v>-39059.294731850554</v>
      </c>
      <c r="K123" s="74">
        <f t="shared" si="6"/>
        <v>-15351.846568056048</v>
      </c>
      <c r="L123" s="74">
        <f t="shared" si="7"/>
        <v>-23707.448163794506</v>
      </c>
      <c r="M123" s="74">
        <f t="shared" si="8"/>
        <v>3904270.3517652587</v>
      </c>
    </row>
    <row r="124" spans="8:18" x14ac:dyDescent="0.3">
      <c r="H124" s="209">
        <v>114</v>
      </c>
      <c r="I124" s="74">
        <f t="shared" si="9"/>
        <v>3904270.3517652587</v>
      </c>
      <c r="J124" s="74">
        <f t="shared" si="5"/>
        <v>-39059.294731850554</v>
      </c>
      <c r="K124" s="74">
        <f t="shared" si="6"/>
        <v>-15259.189958149218</v>
      </c>
      <c r="L124" s="74">
        <f t="shared" si="7"/>
        <v>-23800.104773701336</v>
      </c>
      <c r="M124" s="74">
        <f t="shared" si="8"/>
        <v>3880470.2469915575</v>
      </c>
    </row>
    <row r="125" spans="8:18" x14ac:dyDescent="0.3">
      <c r="H125" s="209">
        <v>115</v>
      </c>
      <c r="I125" s="74">
        <f t="shared" si="9"/>
        <v>3880470.2469915575</v>
      </c>
      <c r="J125" s="74">
        <f t="shared" si="5"/>
        <v>-39059.294731850554</v>
      </c>
      <c r="K125" s="74">
        <f t="shared" si="6"/>
        <v>-15166.171215325336</v>
      </c>
      <c r="L125" s="74">
        <f t="shared" si="7"/>
        <v>-23893.123516525218</v>
      </c>
      <c r="M125" s="74">
        <f t="shared" si="8"/>
        <v>3856577.1234750324</v>
      </c>
    </row>
    <row r="126" spans="8:18" x14ac:dyDescent="0.3">
      <c r="H126" s="209">
        <v>116</v>
      </c>
      <c r="I126" s="74">
        <f t="shared" si="9"/>
        <v>3856577.1234750324</v>
      </c>
      <c r="J126" s="74">
        <f t="shared" si="5"/>
        <v>-39059.294731850554</v>
      </c>
      <c r="K126" s="74">
        <f t="shared" si="6"/>
        <v>-15072.788924248251</v>
      </c>
      <c r="L126" s="74">
        <f t="shared" si="7"/>
        <v>-23986.505807602305</v>
      </c>
      <c r="M126" s="74">
        <f t="shared" si="8"/>
        <v>3832590.6176674301</v>
      </c>
    </row>
    <row r="127" spans="8:18" x14ac:dyDescent="0.3">
      <c r="H127" s="209">
        <v>117</v>
      </c>
      <c r="I127" s="74">
        <f t="shared" si="9"/>
        <v>3832590.6176674301</v>
      </c>
      <c r="J127" s="74">
        <f t="shared" si="5"/>
        <v>-39059.294731850554</v>
      </c>
      <c r="K127" s="74">
        <f t="shared" si="6"/>
        <v>-14979.041664050204</v>
      </c>
      <c r="L127" s="74">
        <f t="shared" si="7"/>
        <v>-24080.25306780035</v>
      </c>
      <c r="M127" s="74">
        <f t="shared" si="8"/>
        <v>3808510.3645996298</v>
      </c>
    </row>
    <row r="128" spans="8:18" x14ac:dyDescent="0.3">
      <c r="H128" s="209">
        <v>118</v>
      </c>
      <c r="I128" s="74">
        <f t="shared" si="9"/>
        <v>3808510.3645996298</v>
      </c>
      <c r="J128" s="74">
        <f t="shared" si="5"/>
        <v>-39059.294731850554</v>
      </c>
      <c r="K128" s="74">
        <f t="shared" si="6"/>
        <v>-14884.928008310219</v>
      </c>
      <c r="L128" s="74">
        <f t="shared" si="7"/>
        <v>-24174.366723540334</v>
      </c>
      <c r="M128" s="74">
        <f t="shared" si="8"/>
        <v>3784335.9978760895</v>
      </c>
    </row>
    <row r="129" spans="8:18" x14ac:dyDescent="0.3">
      <c r="H129" s="209">
        <v>119</v>
      </c>
      <c r="I129" s="74">
        <f t="shared" si="9"/>
        <v>3784335.9978760895</v>
      </c>
      <c r="J129" s="74">
        <f t="shared" si="5"/>
        <v>-39059.294731850554</v>
      </c>
      <c r="K129" s="74">
        <f t="shared" si="6"/>
        <v>-14790.446525032383</v>
      </c>
      <c r="L129" s="74">
        <f t="shared" si="7"/>
        <v>-24268.848206818169</v>
      </c>
      <c r="M129" s="74">
        <f t="shared" si="8"/>
        <v>3760067.1496692714</v>
      </c>
      <c r="O129" s="76" t="s">
        <v>191</v>
      </c>
      <c r="P129" s="76" t="s">
        <v>192</v>
      </c>
      <c r="Q129" s="76" t="s">
        <v>193</v>
      </c>
    </row>
    <row r="130" spans="8:18" x14ac:dyDescent="0.3">
      <c r="H130" s="209">
        <v>120</v>
      </c>
      <c r="I130" s="74">
        <f t="shared" si="9"/>
        <v>3760067.1496692714</v>
      </c>
      <c r="J130" s="74">
        <f t="shared" si="5"/>
        <v>-39059.294731850554</v>
      </c>
      <c r="K130" s="74">
        <f t="shared" si="6"/>
        <v>-14695.595776624068</v>
      </c>
      <c r="L130" s="74">
        <f t="shared" si="7"/>
        <v>-24363.698955226486</v>
      </c>
      <c r="M130" s="75">
        <f t="shared" si="8"/>
        <v>3735703.4507140447</v>
      </c>
      <c r="O130" s="74">
        <f>SUM(K119:K130)</f>
        <v>-182526.76758154845</v>
      </c>
      <c r="P130" s="74">
        <f>SUM(L119:L130)</f>
        <v>-286184.76920065819</v>
      </c>
      <c r="Q130" s="74">
        <f>SUM(J119:J130)</f>
        <v>-468711.53678220668</v>
      </c>
      <c r="R130" s="74"/>
    </row>
    <row r="131" spans="8:18" x14ac:dyDescent="0.3">
      <c r="H131" s="209">
        <v>121</v>
      </c>
      <c r="I131" s="74">
        <f t="shared" si="9"/>
        <v>3735703.4507140447</v>
      </c>
      <c r="J131" s="74">
        <f t="shared" si="5"/>
        <v>-39059.294731850554</v>
      </c>
      <c r="K131" s="74">
        <f t="shared" si="6"/>
        <v>-14600.374319874058</v>
      </c>
      <c r="L131" s="74">
        <f t="shared" si="7"/>
        <v>-24458.920411976498</v>
      </c>
      <c r="M131" s="74">
        <f t="shared" si="8"/>
        <v>3711244.5303020682</v>
      </c>
    </row>
    <row r="132" spans="8:18" x14ac:dyDescent="0.3">
      <c r="H132" s="209">
        <v>122</v>
      </c>
      <c r="I132" s="74">
        <f t="shared" si="9"/>
        <v>3711244.5303020682</v>
      </c>
      <c r="J132" s="74">
        <f t="shared" si="5"/>
        <v>-39059.294731850554</v>
      </c>
      <c r="K132" s="74">
        <f t="shared" si="6"/>
        <v>-14504.780705930583</v>
      </c>
      <c r="L132" s="74">
        <f t="shared" si="7"/>
        <v>-24554.514025919969</v>
      </c>
      <c r="M132" s="74">
        <f t="shared" si="8"/>
        <v>3686690.0162761481</v>
      </c>
    </row>
    <row r="133" spans="8:18" x14ac:dyDescent="0.3">
      <c r="H133" s="209">
        <v>123</v>
      </c>
      <c r="I133" s="74">
        <f t="shared" si="9"/>
        <v>3686690.0162761481</v>
      </c>
      <c r="J133" s="74">
        <f t="shared" si="5"/>
        <v>-39059.294731850554</v>
      </c>
      <c r="K133" s="74">
        <f t="shared" si="6"/>
        <v>-14408.813480279277</v>
      </c>
      <c r="L133" s="74">
        <f t="shared" si="7"/>
        <v>-24650.481251571277</v>
      </c>
      <c r="M133" s="74">
        <f t="shared" si="8"/>
        <v>3662039.5350245768</v>
      </c>
    </row>
    <row r="134" spans="8:18" x14ac:dyDescent="0.3">
      <c r="H134" s="209">
        <v>124</v>
      </c>
      <c r="I134" s="74">
        <f t="shared" si="9"/>
        <v>3662039.5350245768</v>
      </c>
      <c r="J134" s="74">
        <f t="shared" si="5"/>
        <v>-39059.294731850554</v>
      </c>
      <c r="K134" s="74">
        <f t="shared" si="6"/>
        <v>-14312.471182721054</v>
      </c>
      <c r="L134" s="74">
        <f t="shared" si="7"/>
        <v>-24746.823549129498</v>
      </c>
      <c r="M134" s="74">
        <f t="shared" si="8"/>
        <v>3637292.7114754473</v>
      </c>
    </row>
    <row r="135" spans="8:18" x14ac:dyDescent="0.3">
      <c r="H135" s="209">
        <v>125</v>
      </c>
      <c r="I135" s="74">
        <f t="shared" si="9"/>
        <v>3637292.7114754473</v>
      </c>
      <c r="J135" s="74">
        <f t="shared" si="5"/>
        <v>-39059.294731850554</v>
      </c>
      <c r="K135" s="74">
        <f t="shared" si="6"/>
        <v>-14215.752347349873</v>
      </c>
      <c r="L135" s="74">
        <f t="shared" si="7"/>
        <v>-24843.542384500681</v>
      </c>
      <c r="M135" s="74">
        <f t="shared" si="8"/>
        <v>3612449.1690909467</v>
      </c>
    </row>
    <row r="136" spans="8:18" x14ac:dyDescent="0.3">
      <c r="H136" s="209">
        <v>126</v>
      </c>
      <c r="I136" s="74">
        <f t="shared" si="9"/>
        <v>3612449.1690909467</v>
      </c>
      <c r="J136" s="74">
        <f t="shared" si="5"/>
        <v>-39059.294731850554</v>
      </c>
      <c r="K136" s="74">
        <f t="shared" si="6"/>
        <v>-14118.65550253045</v>
      </c>
      <c r="L136" s="74">
        <f t="shared" si="7"/>
        <v>-24940.639229320106</v>
      </c>
      <c r="M136" s="74">
        <f t="shared" si="8"/>
        <v>3587508.5298616267</v>
      </c>
    </row>
    <row r="137" spans="8:18" x14ac:dyDescent="0.3">
      <c r="H137" s="209">
        <v>127</v>
      </c>
      <c r="I137" s="74">
        <f t="shared" si="9"/>
        <v>3587508.5298616267</v>
      </c>
      <c r="J137" s="74">
        <f t="shared" si="5"/>
        <v>-39059.294731850554</v>
      </c>
      <c r="K137" s="74">
        <f t="shared" si="6"/>
        <v>-14021.179170875857</v>
      </c>
      <c r="L137" s="74">
        <f t="shared" si="7"/>
        <v>-25038.115560974697</v>
      </c>
      <c r="M137" s="74">
        <f t="shared" si="8"/>
        <v>3562470.4143006518</v>
      </c>
    </row>
    <row r="138" spans="8:18" x14ac:dyDescent="0.3">
      <c r="H138" s="209">
        <v>128</v>
      </c>
      <c r="I138" s="74">
        <f t="shared" si="9"/>
        <v>3562470.4143006518</v>
      </c>
      <c r="J138" s="74">
        <f t="shared" si="5"/>
        <v>-39059.294731850554</v>
      </c>
      <c r="K138" s="74">
        <f t="shared" si="6"/>
        <v>-13923.321869225047</v>
      </c>
      <c r="L138" s="74">
        <f t="shared" si="7"/>
        <v>-25135.972862625509</v>
      </c>
      <c r="M138" s="74">
        <f t="shared" si="8"/>
        <v>3537334.4414380263</v>
      </c>
    </row>
    <row r="139" spans="8:18" x14ac:dyDescent="0.3">
      <c r="H139" s="209">
        <v>129</v>
      </c>
      <c r="I139" s="74">
        <f t="shared" si="9"/>
        <v>3537334.4414380263</v>
      </c>
      <c r="J139" s="74">
        <f t="shared" si="5"/>
        <v>-39059.294731850554</v>
      </c>
      <c r="K139" s="74">
        <f t="shared" si="6"/>
        <v>-13825.082108620285</v>
      </c>
      <c r="L139" s="74">
        <f t="shared" si="7"/>
        <v>-25234.212623230269</v>
      </c>
      <c r="M139" s="74">
        <f t="shared" si="8"/>
        <v>3512100.2288147961</v>
      </c>
    </row>
    <row r="140" spans="8:18" x14ac:dyDescent="0.3">
      <c r="H140" s="209">
        <v>130</v>
      </c>
      <c r="I140" s="74">
        <f t="shared" si="9"/>
        <v>3512100.2288147961</v>
      </c>
      <c r="J140" s="74">
        <f t="shared" ref="J140:J203" si="10">IF(AND($N$5,H140&lt;=$N$6),K140,PMT($H$6/$I$6,IF($N$5,$H$7-$N$6,$H$7),$H$5))</f>
        <v>-39059.294731850554</v>
      </c>
      <c r="K140" s="74">
        <f t="shared" ref="K140:K203" si="11">+$H$6/$I$6*M139*-1</f>
        <v>-13726.458394284495</v>
      </c>
      <c r="L140" s="74">
        <f t="shared" ref="L140:L203" si="12">J140-K140</f>
        <v>-25332.836337566059</v>
      </c>
      <c r="M140" s="74">
        <f t="shared" ref="M140:M203" si="13">I140+L140</f>
        <v>3486767.3924772302</v>
      </c>
    </row>
    <row r="141" spans="8:18" x14ac:dyDescent="0.3">
      <c r="H141" s="209">
        <v>131</v>
      </c>
      <c r="I141" s="74">
        <f t="shared" ref="I141:I204" si="14">M140</f>
        <v>3486767.3924772302</v>
      </c>
      <c r="J141" s="74">
        <f t="shared" si="10"/>
        <v>-39059.294731850554</v>
      </c>
      <c r="K141" s="74">
        <f t="shared" si="11"/>
        <v>-13627.449225598508</v>
      </c>
      <c r="L141" s="74">
        <f t="shared" si="12"/>
        <v>-25431.845506252044</v>
      </c>
      <c r="M141" s="74">
        <f t="shared" si="13"/>
        <v>3461335.5469709779</v>
      </c>
      <c r="O141" s="76" t="s">
        <v>191</v>
      </c>
      <c r="P141" s="76" t="s">
        <v>192</v>
      </c>
      <c r="Q141" s="76" t="s">
        <v>193</v>
      </c>
    </row>
    <row r="142" spans="8:18" x14ac:dyDescent="0.3">
      <c r="H142" s="209">
        <v>132</v>
      </c>
      <c r="I142" s="74">
        <f t="shared" si="14"/>
        <v>3461335.5469709779</v>
      </c>
      <c r="J142" s="74">
        <f t="shared" si="10"/>
        <v>-39059.294731850554</v>
      </c>
      <c r="K142" s="74">
        <f t="shared" si="11"/>
        <v>-13528.053096078238</v>
      </c>
      <c r="L142" s="74">
        <f t="shared" si="12"/>
        <v>-25531.241635772316</v>
      </c>
      <c r="M142" s="75">
        <f t="shared" si="13"/>
        <v>3435804.3053352055</v>
      </c>
      <c r="O142" s="74">
        <f>SUM(K131:K142)</f>
        <v>-168812.39140336777</v>
      </c>
      <c r="P142" s="74">
        <f>SUM(L131:L142)</f>
        <v>-299899.14537883893</v>
      </c>
      <c r="Q142" s="74">
        <f>SUM(J131:J142)</f>
        <v>-468711.53678220668</v>
      </c>
      <c r="R142" s="74"/>
    </row>
    <row r="143" spans="8:18" x14ac:dyDescent="0.3">
      <c r="H143" s="209">
        <v>133</v>
      </c>
      <c r="I143" s="74">
        <f t="shared" si="14"/>
        <v>3435804.3053352055</v>
      </c>
      <c r="J143" s="74">
        <f t="shared" si="10"/>
        <v>-39059.294731850554</v>
      </c>
      <c r="K143" s="74">
        <f t="shared" si="11"/>
        <v>-13428.268493351761</v>
      </c>
      <c r="L143" s="74">
        <f t="shared" si="12"/>
        <v>-25631.026238498795</v>
      </c>
      <c r="M143" s="74">
        <f t="shared" si="13"/>
        <v>3410173.2790967068</v>
      </c>
    </row>
    <row r="144" spans="8:18" x14ac:dyDescent="0.3">
      <c r="H144" s="209">
        <v>134</v>
      </c>
      <c r="I144" s="74">
        <f t="shared" si="14"/>
        <v>3410173.2790967068</v>
      </c>
      <c r="J144" s="74">
        <f t="shared" si="10"/>
        <v>-39059.294731850554</v>
      </c>
      <c r="K144" s="74">
        <f t="shared" si="11"/>
        <v>-13328.093899136295</v>
      </c>
      <c r="L144" s="74">
        <f t="shared" si="12"/>
        <v>-25731.200832714261</v>
      </c>
      <c r="M144" s="74">
        <f t="shared" si="13"/>
        <v>3384442.0782639924</v>
      </c>
    </row>
    <row r="145" spans="8:18" x14ac:dyDescent="0.3">
      <c r="H145" s="209">
        <v>135</v>
      </c>
      <c r="I145" s="74">
        <f t="shared" si="14"/>
        <v>3384442.0782639924</v>
      </c>
      <c r="J145" s="74">
        <f t="shared" si="10"/>
        <v>-39059.294731850554</v>
      </c>
      <c r="K145" s="74">
        <f t="shared" si="11"/>
        <v>-13227.527789215103</v>
      </c>
      <c r="L145" s="74">
        <f t="shared" si="12"/>
        <v>-25831.766942635451</v>
      </c>
      <c r="M145" s="74">
        <f t="shared" si="13"/>
        <v>3358610.3113213568</v>
      </c>
    </row>
    <row r="146" spans="8:18" x14ac:dyDescent="0.3">
      <c r="H146" s="209">
        <v>136</v>
      </c>
      <c r="I146" s="74">
        <f t="shared" si="14"/>
        <v>3358610.3113213568</v>
      </c>
      <c r="J146" s="74">
        <f t="shared" si="10"/>
        <v>-39059.294731850554</v>
      </c>
      <c r="K146" s="74">
        <f t="shared" si="11"/>
        <v>-13126.568633414303</v>
      </c>
      <c r="L146" s="74">
        <f t="shared" si="12"/>
        <v>-25932.726098436251</v>
      </c>
      <c r="M146" s="74">
        <f t="shared" si="13"/>
        <v>3332677.5852229204</v>
      </c>
    </row>
    <row r="147" spans="8:18" x14ac:dyDescent="0.3">
      <c r="H147" s="209">
        <v>137</v>
      </c>
      <c r="I147" s="74">
        <f t="shared" si="14"/>
        <v>3332677.5852229204</v>
      </c>
      <c r="J147" s="74">
        <f t="shared" si="10"/>
        <v>-39059.294731850554</v>
      </c>
      <c r="K147" s="74">
        <f t="shared" si="11"/>
        <v>-13025.21489557958</v>
      </c>
      <c r="L147" s="74">
        <f t="shared" si="12"/>
        <v>-26034.079836270976</v>
      </c>
      <c r="M147" s="74">
        <f t="shared" si="13"/>
        <v>3306643.5053866496</v>
      </c>
    </row>
    <row r="148" spans="8:18" x14ac:dyDescent="0.3">
      <c r="H148" s="209">
        <v>138</v>
      </c>
      <c r="I148" s="74">
        <f t="shared" si="14"/>
        <v>3306643.5053866496</v>
      </c>
      <c r="J148" s="74">
        <f t="shared" si="10"/>
        <v>-39059.294731850554</v>
      </c>
      <c r="K148" s="74">
        <f t="shared" si="11"/>
        <v>-12923.465033552822</v>
      </c>
      <c r="L148" s="74">
        <f t="shared" si="12"/>
        <v>-26135.829698297734</v>
      </c>
      <c r="M148" s="74">
        <f t="shared" si="13"/>
        <v>3280507.675688352</v>
      </c>
    </row>
    <row r="149" spans="8:18" x14ac:dyDescent="0.3">
      <c r="H149" s="209">
        <v>139</v>
      </c>
      <c r="I149" s="74">
        <f t="shared" si="14"/>
        <v>3280507.675688352</v>
      </c>
      <c r="J149" s="74">
        <f t="shared" si="10"/>
        <v>-39059.294731850554</v>
      </c>
      <c r="K149" s="74">
        <f t="shared" si="11"/>
        <v>-12821.317499148641</v>
      </c>
      <c r="L149" s="74">
        <f t="shared" si="12"/>
        <v>-26237.977232701913</v>
      </c>
      <c r="M149" s="74">
        <f t="shared" si="13"/>
        <v>3254269.6984556499</v>
      </c>
    </row>
    <row r="150" spans="8:18" x14ac:dyDescent="0.3">
      <c r="H150" s="209">
        <v>140</v>
      </c>
      <c r="I150" s="74">
        <f t="shared" si="14"/>
        <v>3254269.6984556499</v>
      </c>
      <c r="J150" s="74">
        <f t="shared" si="10"/>
        <v>-39059.294731850554</v>
      </c>
      <c r="K150" s="74">
        <f t="shared" si="11"/>
        <v>-12718.77073813083</v>
      </c>
      <c r="L150" s="74">
        <f t="shared" si="12"/>
        <v>-26340.523993719726</v>
      </c>
      <c r="M150" s="74">
        <f t="shared" si="13"/>
        <v>3227929.1744619301</v>
      </c>
    </row>
    <row r="151" spans="8:18" x14ac:dyDescent="0.3">
      <c r="H151" s="209">
        <v>141</v>
      </c>
      <c r="I151" s="74">
        <f t="shared" si="14"/>
        <v>3227929.1744619301</v>
      </c>
      <c r="J151" s="74">
        <f t="shared" si="10"/>
        <v>-39059.294731850554</v>
      </c>
      <c r="K151" s="74">
        <f t="shared" si="11"/>
        <v>-12615.823190188708</v>
      </c>
      <c r="L151" s="74">
        <f t="shared" si="12"/>
        <v>-26443.471541661846</v>
      </c>
      <c r="M151" s="74">
        <f t="shared" si="13"/>
        <v>3201485.7029202683</v>
      </c>
    </row>
    <row r="152" spans="8:18" x14ac:dyDescent="0.3">
      <c r="H152" s="209">
        <v>142</v>
      </c>
      <c r="I152" s="74">
        <f t="shared" si="14"/>
        <v>3201485.7029202683</v>
      </c>
      <c r="J152" s="74">
        <f t="shared" si="10"/>
        <v>-39059.294731850554</v>
      </c>
      <c r="K152" s="74">
        <f t="shared" si="11"/>
        <v>-12512.473288913381</v>
      </c>
      <c r="L152" s="74">
        <f t="shared" si="12"/>
        <v>-26546.821442937173</v>
      </c>
      <c r="M152" s="74">
        <f t="shared" si="13"/>
        <v>3174938.8814773313</v>
      </c>
    </row>
    <row r="153" spans="8:18" x14ac:dyDescent="0.3">
      <c r="H153" s="209">
        <v>143</v>
      </c>
      <c r="I153" s="74">
        <f t="shared" si="14"/>
        <v>3174938.8814773313</v>
      </c>
      <c r="J153" s="74">
        <f t="shared" si="10"/>
        <v>-39059.294731850554</v>
      </c>
      <c r="K153" s="74">
        <f t="shared" si="11"/>
        <v>-12408.719461773902</v>
      </c>
      <c r="L153" s="74">
        <f t="shared" si="12"/>
        <v>-26650.575270076653</v>
      </c>
      <c r="M153" s="74">
        <f t="shared" si="13"/>
        <v>3148288.3062072545</v>
      </c>
      <c r="O153" s="76" t="s">
        <v>191</v>
      </c>
      <c r="P153" s="76" t="s">
        <v>192</v>
      </c>
      <c r="Q153" s="76" t="s">
        <v>193</v>
      </c>
    </row>
    <row r="154" spans="8:18" x14ac:dyDescent="0.3">
      <c r="H154" s="209">
        <v>144</v>
      </c>
      <c r="I154" s="74">
        <f t="shared" si="14"/>
        <v>3148288.3062072545</v>
      </c>
      <c r="J154" s="74">
        <f t="shared" si="10"/>
        <v>-39059.294731850554</v>
      </c>
      <c r="K154" s="74">
        <f t="shared" si="11"/>
        <v>-12304.560130093352</v>
      </c>
      <c r="L154" s="74">
        <f t="shared" si="12"/>
        <v>-26754.734601757202</v>
      </c>
      <c r="M154" s="75">
        <f t="shared" si="13"/>
        <v>3121533.5716054975</v>
      </c>
      <c r="O154" s="74">
        <f>SUM(K143:K154)</f>
        <v>-154440.8030524987</v>
      </c>
      <c r="P154" s="74">
        <f>SUM(L143:L154)</f>
        <v>-314270.73372970795</v>
      </c>
      <c r="Q154" s="74">
        <f>SUM(J143:J154)</f>
        <v>-468711.53678220668</v>
      </c>
      <c r="R154" s="74"/>
    </row>
    <row r="155" spans="8:18" x14ac:dyDescent="0.3">
      <c r="H155" s="209">
        <v>145</v>
      </c>
      <c r="I155" s="74">
        <f t="shared" si="14"/>
        <v>3121533.5716054975</v>
      </c>
      <c r="J155" s="74">
        <f t="shared" si="10"/>
        <v>-39059.294731850554</v>
      </c>
      <c r="K155" s="74">
        <f t="shared" si="11"/>
        <v>-12199.993709024819</v>
      </c>
      <c r="L155" s="74">
        <f t="shared" si="12"/>
        <v>-26859.301022825734</v>
      </c>
      <c r="M155" s="74">
        <f t="shared" si="13"/>
        <v>3094674.2705826717</v>
      </c>
    </row>
    <row r="156" spans="8:18" x14ac:dyDescent="0.3">
      <c r="H156" s="209">
        <v>146</v>
      </c>
      <c r="I156" s="74">
        <f t="shared" si="14"/>
        <v>3094674.2705826717</v>
      </c>
      <c r="J156" s="74">
        <f t="shared" si="10"/>
        <v>-39059.294731850554</v>
      </c>
      <c r="K156" s="74">
        <f t="shared" si="11"/>
        <v>-12095.018607527274</v>
      </c>
      <c r="L156" s="74">
        <f t="shared" si="12"/>
        <v>-26964.276124323282</v>
      </c>
      <c r="M156" s="74">
        <f t="shared" si="13"/>
        <v>3067709.9944583485</v>
      </c>
    </row>
    <row r="157" spans="8:18" x14ac:dyDescent="0.3">
      <c r="H157" s="209">
        <v>147</v>
      </c>
      <c r="I157" s="74">
        <f t="shared" si="14"/>
        <v>3067709.9944583485</v>
      </c>
      <c r="J157" s="74">
        <f t="shared" si="10"/>
        <v>-39059.294731850554</v>
      </c>
      <c r="K157" s="74">
        <f t="shared" si="11"/>
        <v>-11989.633228341378</v>
      </c>
      <c r="L157" s="74">
        <f t="shared" si="12"/>
        <v>-27069.661503509175</v>
      </c>
      <c r="M157" s="74">
        <f t="shared" si="13"/>
        <v>3040640.3329548393</v>
      </c>
    </row>
    <row r="158" spans="8:18" x14ac:dyDescent="0.3">
      <c r="H158" s="209">
        <v>148</v>
      </c>
      <c r="I158" s="74">
        <f t="shared" si="14"/>
        <v>3040640.3329548393</v>
      </c>
      <c r="J158" s="74">
        <f t="shared" si="10"/>
        <v>-39059.294731850554</v>
      </c>
      <c r="K158" s="74">
        <f t="shared" si="11"/>
        <v>-11883.835967965164</v>
      </c>
      <c r="L158" s="74">
        <f t="shared" si="12"/>
        <v>-27175.458763885392</v>
      </c>
      <c r="M158" s="74">
        <f t="shared" si="13"/>
        <v>3013464.874190954</v>
      </c>
    </row>
    <row r="159" spans="8:18" x14ac:dyDescent="0.3">
      <c r="H159" s="209">
        <v>149</v>
      </c>
      <c r="I159" s="74">
        <f t="shared" si="14"/>
        <v>3013464.874190954</v>
      </c>
      <c r="J159" s="74">
        <f t="shared" si="10"/>
        <v>-39059.294731850554</v>
      </c>
      <c r="K159" s="74">
        <f t="shared" si="11"/>
        <v>-11777.625216629645</v>
      </c>
      <c r="L159" s="74">
        <f t="shared" si="12"/>
        <v>-27281.669515220907</v>
      </c>
      <c r="M159" s="74">
        <f t="shared" si="13"/>
        <v>2986183.2046757331</v>
      </c>
    </row>
    <row r="160" spans="8:18" x14ac:dyDescent="0.3">
      <c r="H160" s="209">
        <v>150</v>
      </c>
      <c r="I160" s="74">
        <f t="shared" si="14"/>
        <v>2986183.2046757331</v>
      </c>
      <c r="J160" s="74">
        <f t="shared" si="10"/>
        <v>-39059.294731850554</v>
      </c>
      <c r="K160" s="74">
        <f t="shared" si="11"/>
        <v>-11670.999358274323</v>
      </c>
      <c r="L160" s="74">
        <f t="shared" si="12"/>
        <v>-27388.295373576231</v>
      </c>
      <c r="M160" s="74">
        <f t="shared" si="13"/>
        <v>2958794.9093021569</v>
      </c>
    </row>
    <row r="161" spans="8:18" x14ac:dyDescent="0.3">
      <c r="H161" s="209">
        <v>151</v>
      </c>
      <c r="I161" s="74">
        <f t="shared" si="14"/>
        <v>2958794.9093021569</v>
      </c>
      <c r="J161" s="74">
        <f t="shared" si="10"/>
        <v>-39059.294731850554</v>
      </c>
      <c r="K161" s="74">
        <f t="shared" si="11"/>
        <v>-11563.956770522596</v>
      </c>
      <c r="L161" s="74">
        <f t="shared" si="12"/>
        <v>-27495.337961327958</v>
      </c>
      <c r="M161" s="74">
        <f t="shared" si="13"/>
        <v>2931299.5713408291</v>
      </c>
    </row>
    <row r="162" spans="8:18" x14ac:dyDescent="0.3">
      <c r="H162" s="209">
        <v>152</v>
      </c>
      <c r="I162" s="74">
        <f t="shared" si="14"/>
        <v>2931299.5713408291</v>
      </c>
      <c r="J162" s="74">
        <f t="shared" si="10"/>
        <v>-39059.294731850554</v>
      </c>
      <c r="K162" s="74">
        <f t="shared" si="11"/>
        <v>-11456.495824657073</v>
      </c>
      <c r="L162" s="74">
        <f t="shared" si="12"/>
        <v>-27602.798907193479</v>
      </c>
      <c r="M162" s="74">
        <f t="shared" si="13"/>
        <v>2903696.7724336358</v>
      </c>
    </row>
    <row r="163" spans="8:18" x14ac:dyDescent="0.3">
      <c r="H163" s="209">
        <v>153</v>
      </c>
      <c r="I163" s="74">
        <f t="shared" si="14"/>
        <v>2903696.7724336358</v>
      </c>
      <c r="J163" s="74">
        <f t="shared" si="10"/>
        <v>-39059.294731850554</v>
      </c>
      <c r="K163" s="74">
        <f t="shared" si="11"/>
        <v>-11348.614885594792</v>
      </c>
      <c r="L163" s="74">
        <f t="shared" si="12"/>
        <v>-27710.679846255764</v>
      </c>
      <c r="M163" s="74">
        <f t="shared" si="13"/>
        <v>2875986.0925873802</v>
      </c>
    </row>
    <row r="164" spans="8:18" x14ac:dyDescent="0.3">
      <c r="H164" s="209">
        <v>154</v>
      </c>
      <c r="I164" s="74">
        <f t="shared" si="14"/>
        <v>2875986.0925873802</v>
      </c>
      <c r="J164" s="74">
        <f t="shared" si="10"/>
        <v>-39059.294731850554</v>
      </c>
      <c r="K164" s="74">
        <f t="shared" si="11"/>
        <v>-11240.312311862344</v>
      </c>
      <c r="L164" s="74">
        <f t="shared" si="12"/>
        <v>-27818.98241998821</v>
      </c>
      <c r="M164" s="74">
        <f t="shared" si="13"/>
        <v>2848167.1101673921</v>
      </c>
    </row>
    <row r="165" spans="8:18" x14ac:dyDescent="0.3">
      <c r="H165" s="209">
        <v>155</v>
      </c>
      <c r="I165" s="74">
        <f t="shared" si="14"/>
        <v>2848167.1101673921</v>
      </c>
      <c r="J165" s="74">
        <f t="shared" si="10"/>
        <v>-39059.294731850554</v>
      </c>
      <c r="K165" s="74">
        <f t="shared" si="11"/>
        <v>-11131.58645557089</v>
      </c>
      <c r="L165" s="74">
        <f t="shared" si="12"/>
        <v>-27927.708276279664</v>
      </c>
      <c r="M165" s="74">
        <f t="shared" si="13"/>
        <v>2820239.4018911123</v>
      </c>
      <c r="O165" s="76" t="s">
        <v>191</v>
      </c>
      <c r="P165" s="76" t="s">
        <v>192</v>
      </c>
      <c r="Q165" s="76" t="s">
        <v>193</v>
      </c>
    </row>
    <row r="166" spans="8:18" x14ac:dyDescent="0.3">
      <c r="H166" s="209">
        <v>156</v>
      </c>
      <c r="I166" s="74">
        <f t="shared" si="14"/>
        <v>2820239.4018911123</v>
      </c>
      <c r="J166" s="74">
        <f t="shared" si="10"/>
        <v>-39059.294731850554</v>
      </c>
      <c r="K166" s="74">
        <f t="shared" si="11"/>
        <v>-11022.435662391097</v>
      </c>
      <c r="L166" s="74">
        <f t="shared" si="12"/>
        <v>-28036.859069459457</v>
      </c>
      <c r="M166" s="75">
        <f t="shared" si="13"/>
        <v>2792202.5428216527</v>
      </c>
      <c r="O166" s="74">
        <f>SUM(K155:K166)</f>
        <v>-139380.5079983614</v>
      </c>
      <c r="P166" s="74">
        <f>SUM(L155:L166)</f>
        <v>-329331.02878384525</v>
      </c>
      <c r="Q166" s="74">
        <f>SUM(J155:J166)</f>
        <v>-468711.53678220668</v>
      </c>
      <c r="R166" s="74"/>
    </row>
    <row r="167" spans="8:18" x14ac:dyDescent="0.3">
      <c r="H167" s="209">
        <v>157</v>
      </c>
      <c r="I167" s="74">
        <f t="shared" si="14"/>
        <v>2792202.5428216527</v>
      </c>
      <c r="J167" s="74">
        <f t="shared" si="10"/>
        <v>-39059.294731850554</v>
      </c>
      <c r="K167" s="74">
        <f t="shared" si="11"/>
        <v>-10912.858271527959</v>
      </c>
      <c r="L167" s="74">
        <f t="shared" si="12"/>
        <v>-28146.436460322595</v>
      </c>
      <c r="M167" s="74">
        <f t="shared" si="13"/>
        <v>2764056.10636133</v>
      </c>
    </row>
    <row r="168" spans="8:18" x14ac:dyDescent="0.3">
      <c r="H168" s="209">
        <v>158</v>
      </c>
      <c r="I168" s="74">
        <f t="shared" si="14"/>
        <v>2764056.10636133</v>
      </c>
      <c r="J168" s="74">
        <f t="shared" si="10"/>
        <v>-39059.294731850554</v>
      </c>
      <c r="K168" s="74">
        <f t="shared" si="11"/>
        <v>-10802.85261569553</v>
      </c>
      <c r="L168" s="74">
        <f t="shared" si="12"/>
        <v>-28256.442116155024</v>
      </c>
      <c r="M168" s="74">
        <f t="shared" si="13"/>
        <v>2735799.6642451752</v>
      </c>
    </row>
    <row r="169" spans="8:18" x14ac:dyDescent="0.3">
      <c r="H169" s="209">
        <v>159</v>
      </c>
      <c r="I169" s="74">
        <f t="shared" si="14"/>
        <v>2735799.6642451752</v>
      </c>
      <c r="J169" s="74">
        <f t="shared" si="10"/>
        <v>-39059.294731850554</v>
      </c>
      <c r="K169" s="74">
        <f t="shared" si="11"/>
        <v>-10692.41702109156</v>
      </c>
      <c r="L169" s="74">
        <f t="shared" si="12"/>
        <v>-28366.877710758992</v>
      </c>
      <c r="M169" s="74">
        <f t="shared" si="13"/>
        <v>2707432.786534416</v>
      </c>
    </row>
    <row r="170" spans="8:18" x14ac:dyDescent="0.3">
      <c r="H170" s="209">
        <v>160</v>
      </c>
      <c r="I170" s="74">
        <f t="shared" si="14"/>
        <v>2707432.786534416</v>
      </c>
      <c r="J170" s="74">
        <f t="shared" si="10"/>
        <v>-39059.294731850554</v>
      </c>
      <c r="K170" s="74">
        <f t="shared" si="11"/>
        <v>-10581.549807372008</v>
      </c>
      <c r="L170" s="74">
        <f t="shared" si="12"/>
        <v>-28477.744924478546</v>
      </c>
      <c r="M170" s="74">
        <f t="shared" si="13"/>
        <v>2678955.0416099373</v>
      </c>
    </row>
    <row r="171" spans="8:18" x14ac:dyDescent="0.3">
      <c r="H171" s="209">
        <v>161</v>
      </c>
      <c r="I171" s="74">
        <f t="shared" si="14"/>
        <v>2678955.0416099373</v>
      </c>
      <c r="J171" s="74">
        <f t="shared" si="10"/>
        <v>-39059.294731850554</v>
      </c>
      <c r="K171" s="74">
        <f t="shared" si="11"/>
        <v>-10470.249287625504</v>
      </c>
      <c r="L171" s="74">
        <f t="shared" si="12"/>
        <v>-28589.045444225048</v>
      </c>
      <c r="M171" s="74">
        <f t="shared" si="13"/>
        <v>2650365.9961657124</v>
      </c>
    </row>
    <row r="172" spans="8:18" x14ac:dyDescent="0.3">
      <c r="H172" s="209">
        <v>162</v>
      </c>
      <c r="I172" s="74">
        <f t="shared" si="14"/>
        <v>2650365.9961657124</v>
      </c>
      <c r="J172" s="74">
        <f t="shared" si="10"/>
        <v>-39059.294731850554</v>
      </c>
      <c r="K172" s="74">
        <f t="shared" si="11"/>
        <v>-10358.513768347659</v>
      </c>
      <c r="L172" s="74">
        <f t="shared" si="12"/>
        <v>-28700.780963502897</v>
      </c>
      <c r="M172" s="74">
        <f t="shared" si="13"/>
        <v>2621665.2152022095</v>
      </c>
    </row>
    <row r="173" spans="8:18" x14ac:dyDescent="0.3">
      <c r="H173" s="209">
        <v>163</v>
      </c>
      <c r="I173" s="74">
        <f t="shared" si="14"/>
        <v>2621665.2152022095</v>
      </c>
      <c r="J173" s="74">
        <f t="shared" si="10"/>
        <v>-39059.294731850554</v>
      </c>
      <c r="K173" s="74">
        <f t="shared" si="11"/>
        <v>-10246.341549415301</v>
      </c>
      <c r="L173" s="74">
        <f t="shared" si="12"/>
        <v>-28812.953182435253</v>
      </c>
      <c r="M173" s="74">
        <f t="shared" si="13"/>
        <v>2592852.2620197744</v>
      </c>
    </row>
    <row r="174" spans="8:18" x14ac:dyDescent="0.3">
      <c r="H174" s="209">
        <v>164</v>
      </c>
      <c r="I174" s="74">
        <f t="shared" si="14"/>
        <v>2592852.2620197744</v>
      </c>
      <c r="J174" s="74">
        <f t="shared" si="10"/>
        <v>-39059.294731850554</v>
      </c>
      <c r="K174" s="74">
        <f t="shared" si="11"/>
        <v>-10133.730924060617</v>
      </c>
      <c r="L174" s="74">
        <f t="shared" si="12"/>
        <v>-28925.563807789935</v>
      </c>
      <c r="M174" s="74">
        <f t="shared" si="13"/>
        <v>2563926.6982119847</v>
      </c>
    </row>
    <row r="175" spans="8:18" x14ac:dyDescent="0.3">
      <c r="H175" s="209">
        <v>165</v>
      </c>
      <c r="I175" s="74">
        <f t="shared" si="14"/>
        <v>2563926.6982119847</v>
      </c>
      <c r="J175" s="74">
        <f t="shared" si="10"/>
        <v>-39059.294731850554</v>
      </c>
      <c r="K175" s="74">
        <f t="shared" si="11"/>
        <v>-10020.680178845172</v>
      </c>
      <c r="L175" s="74">
        <f t="shared" si="12"/>
        <v>-29038.614553005384</v>
      </c>
      <c r="M175" s="74">
        <f t="shared" si="13"/>
        <v>2534888.0836589793</v>
      </c>
    </row>
    <row r="176" spans="8:18" x14ac:dyDescent="0.3">
      <c r="H176" s="209">
        <v>166</v>
      </c>
      <c r="I176" s="74">
        <f t="shared" si="14"/>
        <v>2534888.0836589793</v>
      </c>
      <c r="J176" s="74">
        <f t="shared" si="10"/>
        <v>-39059.294731850554</v>
      </c>
      <c r="K176" s="74">
        <f t="shared" si="11"/>
        <v>-9907.1875936338438</v>
      </c>
      <c r="L176" s="74">
        <f t="shared" si="12"/>
        <v>-29152.10713821671</v>
      </c>
      <c r="M176" s="74">
        <f t="shared" si="13"/>
        <v>2505735.9765207628</v>
      </c>
    </row>
    <row r="177" spans="8:18" x14ac:dyDescent="0.3">
      <c r="H177" s="209">
        <v>167</v>
      </c>
      <c r="I177" s="74">
        <f t="shared" si="14"/>
        <v>2505735.9765207628</v>
      </c>
      <c r="J177" s="74">
        <f t="shared" si="10"/>
        <v>-39059.294731850554</v>
      </c>
      <c r="K177" s="74">
        <f t="shared" si="11"/>
        <v>-9793.2514415686474</v>
      </c>
      <c r="L177" s="74">
        <f t="shared" si="12"/>
        <v>-29266.043290281908</v>
      </c>
      <c r="M177" s="74">
        <f t="shared" si="13"/>
        <v>2476469.9332304806</v>
      </c>
      <c r="O177" s="76" t="s">
        <v>191</v>
      </c>
      <c r="P177" s="76" t="s">
        <v>192</v>
      </c>
      <c r="Q177" s="76" t="s">
        <v>193</v>
      </c>
    </row>
    <row r="178" spans="8:18" x14ac:dyDescent="0.3">
      <c r="H178" s="209">
        <v>168</v>
      </c>
      <c r="I178" s="74">
        <f t="shared" si="14"/>
        <v>2476469.9332304806</v>
      </c>
      <c r="J178" s="74">
        <f t="shared" si="10"/>
        <v>-39059.294731850554</v>
      </c>
      <c r="K178" s="74">
        <f t="shared" si="11"/>
        <v>-9678.8699890424614</v>
      </c>
      <c r="L178" s="74">
        <f t="shared" si="12"/>
        <v>-29380.424742808093</v>
      </c>
      <c r="M178" s="75">
        <f t="shared" si="13"/>
        <v>2447089.5084876725</v>
      </c>
      <c r="O178" s="74">
        <f>SUM(K167:K178)</f>
        <v>-123598.50244822627</v>
      </c>
      <c r="P178" s="74">
        <f>SUM(L167:L178)</f>
        <v>-345113.03433398041</v>
      </c>
      <c r="Q178" s="74">
        <f>SUM(J167:J178)</f>
        <v>-468711.53678220668</v>
      </c>
      <c r="R178" s="74"/>
    </row>
    <row r="179" spans="8:18" x14ac:dyDescent="0.3">
      <c r="H179" s="209">
        <v>169</v>
      </c>
      <c r="I179" s="74">
        <f t="shared" si="14"/>
        <v>2447089.5084876725</v>
      </c>
      <c r="J179" s="74">
        <f t="shared" si="10"/>
        <v>-39059.294731850554</v>
      </c>
      <c r="K179" s="74">
        <f t="shared" si="11"/>
        <v>-9564.0414956726527</v>
      </c>
      <c r="L179" s="74">
        <f t="shared" si="12"/>
        <v>-29495.253236177901</v>
      </c>
      <c r="M179" s="74">
        <f t="shared" si="13"/>
        <v>2417594.2552514947</v>
      </c>
    </row>
    <row r="180" spans="8:18" x14ac:dyDescent="0.3">
      <c r="H180" s="209">
        <v>170</v>
      </c>
      <c r="I180" s="74">
        <f t="shared" si="14"/>
        <v>2417594.2552514947</v>
      </c>
      <c r="J180" s="74">
        <f t="shared" si="10"/>
        <v>-39059.294731850554</v>
      </c>
      <c r="K180" s="74">
        <f t="shared" si="11"/>
        <v>-9448.7642142745917</v>
      </c>
      <c r="L180" s="74">
        <f t="shared" si="12"/>
        <v>-29610.530517575964</v>
      </c>
      <c r="M180" s="74">
        <f t="shared" si="13"/>
        <v>2387983.7247339189</v>
      </c>
    </row>
    <row r="181" spans="8:18" x14ac:dyDescent="0.3">
      <c r="H181" s="209">
        <v>171</v>
      </c>
      <c r="I181" s="74">
        <f t="shared" si="14"/>
        <v>2387983.7247339189</v>
      </c>
      <c r="J181" s="74">
        <f t="shared" si="10"/>
        <v>-39059.294731850554</v>
      </c>
      <c r="K181" s="74">
        <f t="shared" si="11"/>
        <v>-9333.0363908350664</v>
      </c>
      <c r="L181" s="74">
        <f t="shared" si="12"/>
        <v>-29726.258341015488</v>
      </c>
      <c r="M181" s="74">
        <f t="shared" si="13"/>
        <v>2358257.4663929036</v>
      </c>
    </row>
    <row r="182" spans="8:18" x14ac:dyDescent="0.3">
      <c r="H182" s="209">
        <v>172</v>
      </c>
      <c r="I182" s="74">
        <f t="shared" si="14"/>
        <v>2358257.4663929036</v>
      </c>
      <c r="J182" s="74">
        <f t="shared" si="10"/>
        <v>-39059.294731850554</v>
      </c>
      <c r="K182" s="74">
        <f t="shared" si="11"/>
        <v>-9216.8562644855974</v>
      </c>
      <c r="L182" s="74">
        <f t="shared" si="12"/>
        <v>-29842.438467364955</v>
      </c>
      <c r="M182" s="74">
        <f t="shared" si="13"/>
        <v>2328415.0279255388</v>
      </c>
    </row>
    <row r="183" spans="8:18" x14ac:dyDescent="0.3">
      <c r="H183" s="209">
        <v>173</v>
      </c>
      <c r="I183" s="74">
        <f t="shared" si="14"/>
        <v>2328415.0279255388</v>
      </c>
      <c r="J183" s="74">
        <f t="shared" si="10"/>
        <v>-39059.294731850554</v>
      </c>
      <c r="K183" s="74">
        <f t="shared" si="11"/>
        <v>-9100.2220674756463</v>
      </c>
      <c r="L183" s="74">
        <f t="shared" si="12"/>
        <v>-29959.072664374908</v>
      </c>
      <c r="M183" s="74">
        <f t="shared" si="13"/>
        <v>2298455.9552611639</v>
      </c>
    </row>
    <row r="184" spans="8:18" x14ac:dyDescent="0.3">
      <c r="H184" s="209">
        <v>174</v>
      </c>
      <c r="I184" s="74">
        <f t="shared" si="14"/>
        <v>2298455.9552611639</v>
      </c>
      <c r="J184" s="74">
        <f t="shared" si="10"/>
        <v>-39059.294731850554</v>
      </c>
      <c r="K184" s="74">
        <f t="shared" si="11"/>
        <v>-8983.1320251457146</v>
      </c>
      <c r="L184" s="74">
        <f t="shared" si="12"/>
        <v>-30076.162706704839</v>
      </c>
      <c r="M184" s="74">
        <f t="shared" si="13"/>
        <v>2268379.7925544591</v>
      </c>
    </row>
    <row r="185" spans="8:18" x14ac:dyDescent="0.3">
      <c r="H185" s="209">
        <v>175</v>
      </c>
      <c r="I185" s="74">
        <f t="shared" si="14"/>
        <v>2268379.7925544591</v>
      </c>
      <c r="J185" s="74">
        <f t="shared" si="10"/>
        <v>-39059.294731850554</v>
      </c>
      <c r="K185" s="74">
        <f t="shared" si="11"/>
        <v>-8865.5843559003442</v>
      </c>
      <c r="L185" s="74">
        <f t="shared" si="12"/>
        <v>-30193.71037595021</v>
      </c>
      <c r="M185" s="74">
        <f t="shared" si="13"/>
        <v>2238186.0821785089</v>
      </c>
    </row>
    <row r="186" spans="8:18" x14ac:dyDescent="0.3">
      <c r="H186" s="209">
        <v>176</v>
      </c>
      <c r="I186" s="74">
        <f t="shared" si="14"/>
        <v>2238186.0821785089</v>
      </c>
      <c r="J186" s="74">
        <f t="shared" si="10"/>
        <v>-39059.294731850554</v>
      </c>
      <c r="K186" s="74">
        <f t="shared" si="11"/>
        <v>-8747.5772711810041</v>
      </c>
      <c r="L186" s="74">
        <f t="shared" si="12"/>
        <v>-30311.717460669548</v>
      </c>
      <c r="M186" s="74">
        <f t="shared" si="13"/>
        <v>2207874.3647178393</v>
      </c>
    </row>
    <row r="187" spans="8:18" x14ac:dyDescent="0.3">
      <c r="H187" s="209">
        <v>177</v>
      </c>
      <c r="I187" s="74">
        <f t="shared" si="14"/>
        <v>2207874.3647178393</v>
      </c>
      <c r="J187" s="74">
        <f t="shared" si="10"/>
        <v>-39059.294731850554</v>
      </c>
      <c r="K187" s="74">
        <f t="shared" si="11"/>
        <v>-8629.1089754388886</v>
      </c>
      <c r="L187" s="74">
        <f t="shared" si="12"/>
        <v>-30430.185756411665</v>
      </c>
      <c r="M187" s="74">
        <f t="shared" si="13"/>
        <v>2177444.1789614274</v>
      </c>
    </row>
    <row r="188" spans="8:18" x14ac:dyDescent="0.3">
      <c r="H188" s="209">
        <v>178</v>
      </c>
      <c r="I188" s="74">
        <f t="shared" si="14"/>
        <v>2177444.1789614274</v>
      </c>
      <c r="J188" s="74">
        <f t="shared" si="10"/>
        <v>-39059.294731850554</v>
      </c>
      <c r="K188" s="74">
        <f t="shared" si="11"/>
        <v>-8510.1776661075783</v>
      </c>
      <c r="L188" s="74">
        <f t="shared" si="12"/>
        <v>-30549.117065742976</v>
      </c>
      <c r="M188" s="74">
        <f t="shared" si="13"/>
        <v>2146895.0618956843</v>
      </c>
    </row>
    <row r="189" spans="8:18" x14ac:dyDescent="0.3">
      <c r="H189" s="209">
        <v>179</v>
      </c>
      <c r="I189" s="74">
        <f t="shared" si="14"/>
        <v>2146895.0618956843</v>
      </c>
      <c r="J189" s="74">
        <f t="shared" si="10"/>
        <v>-39059.294731850554</v>
      </c>
      <c r="K189" s="74">
        <f t="shared" si="11"/>
        <v>-8390.7815335756331</v>
      </c>
      <c r="L189" s="74">
        <f t="shared" si="12"/>
        <v>-30668.513198274923</v>
      </c>
      <c r="M189" s="74">
        <f t="shared" si="13"/>
        <v>2116226.5486974092</v>
      </c>
      <c r="O189" s="76" t="s">
        <v>191</v>
      </c>
      <c r="P189" s="76" t="s">
        <v>192</v>
      </c>
      <c r="Q189" s="76" t="s">
        <v>193</v>
      </c>
    </row>
    <row r="190" spans="8:18" x14ac:dyDescent="0.3">
      <c r="H190" s="209">
        <v>180</v>
      </c>
      <c r="I190" s="74">
        <f t="shared" si="14"/>
        <v>2116226.5486974092</v>
      </c>
      <c r="J190" s="74">
        <f t="shared" si="10"/>
        <v>-39059.294731850554</v>
      </c>
      <c r="K190" s="74">
        <f t="shared" si="11"/>
        <v>-8270.9187611590405</v>
      </c>
      <c r="L190" s="74">
        <f t="shared" si="12"/>
        <v>-30788.375970691515</v>
      </c>
      <c r="M190" s="75">
        <f t="shared" si="13"/>
        <v>2085438.1727267178</v>
      </c>
      <c r="O190" s="74">
        <f>SUM(K179:K190)</f>
        <v>-107060.20102125173</v>
      </c>
      <c r="P190" s="74">
        <f>SUM(L179:L190)</f>
        <v>-361651.33576095488</v>
      </c>
      <c r="Q190" s="74">
        <f>SUM(J179:J190)</f>
        <v>-468711.53678220668</v>
      </c>
      <c r="R190" s="74"/>
    </row>
    <row r="191" spans="8:18" x14ac:dyDescent="0.3">
      <c r="H191" s="209">
        <v>181</v>
      </c>
      <c r="I191" s="74">
        <f t="shared" si="14"/>
        <v>2085438.1727267178</v>
      </c>
      <c r="J191" s="74">
        <f t="shared" si="10"/>
        <v>-39059.294731850554</v>
      </c>
      <c r="K191" s="74">
        <f t="shared" si="11"/>
        <v>-8150.587525073588</v>
      </c>
      <c r="L191" s="74">
        <f t="shared" si="12"/>
        <v>-30908.707206776966</v>
      </c>
      <c r="M191" s="74">
        <f t="shared" si="13"/>
        <v>2054529.4655199407</v>
      </c>
    </row>
    <row r="192" spans="8:18" x14ac:dyDescent="0.3">
      <c r="H192" s="209">
        <v>182</v>
      </c>
      <c r="I192" s="74">
        <f t="shared" si="14"/>
        <v>2054529.4655199407</v>
      </c>
      <c r="J192" s="74">
        <f t="shared" si="10"/>
        <v>-39059.294731850554</v>
      </c>
      <c r="K192" s="74">
        <f t="shared" si="11"/>
        <v>-8029.7859944071015</v>
      </c>
      <c r="L192" s="74">
        <f t="shared" si="12"/>
        <v>-31029.508737443452</v>
      </c>
      <c r="M192" s="74">
        <f t="shared" si="13"/>
        <v>2023499.9567824972</v>
      </c>
    </row>
    <row r="193" spans="8:17" x14ac:dyDescent="0.3">
      <c r="H193" s="209">
        <v>183</v>
      </c>
      <c r="I193" s="74">
        <f t="shared" si="14"/>
        <v>2023499.9567824972</v>
      </c>
      <c r="J193" s="74">
        <f t="shared" si="10"/>
        <v>-39059.294731850554</v>
      </c>
      <c r="K193" s="74">
        <f t="shared" si="11"/>
        <v>-7908.5123310915933</v>
      </c>
      <c r="L193" s="74">
        <f t="shared" si="12"/>
        <v>-31150.782400758959</v>
      </c>
      <c r="M193" s="74">
        <f t="shared" si="13"/>
        <v>1992349.1743817383</v>
      </c>
    </row>
    <row r="194" spans="8:17" x14ac:dyDescent="0.3">
      <c r="H194" s="209">
        <v>184</v>
      </c>
      <c r="I194" s="74">
        <f t="shared" si="14"/>
        <v>1992349.1743817383</v>
      </c>
      <c r="J194" s="74">
        <f t="shared" si="10"/>
        <v>-39059.294731850554</v>
      </c>
      <c r="K194" s="74">
        <f t="shared" si="11"/>
        <v>-7786.7646898752937</v>
      </c>
      <c r="L194" s="74">
        <f t="shared" si="12"/>
        <v>-31272.53004197526</v>
      </c>
      <c r="M194" s="74">
        <f t="shared" si="13"/>
        <v>1961076.6443397631</v>
      </c>
    </row>
    <row r="195" spans="8:17" x14ac:dyDescent="0.3">
      <c r="H195" s="209">
        <v>185</v>
      </c>
      <c r="I195" s="74">
        <f t="shared" si="14"/>
        <v>1961076.6443397631</v>
      </c>
      <c r="J195" s="74">
        <f t="shared" si="10"/>
        <v>-39059.294731850554</v>
      </c>
      <c r="K195" s="74">
        <f t="shared" si="11"/>
        <v>-7664.5412182945738</v>
      </c>
      <c r="L195" s="74">
        <f t="shared" si="12"/>
        <v>-31394.753513555981</v>
      </c>
      <c r="M195" s="74">
        <f t="shared" si="13"/>
        <v>1929681.8908262071</v>
      </c>
    </row>
    <row r="196" spans="8:17" x14ac:dyDescent="0.3">
      <c r="H196" s="209">
        <v>186</v>
      </c>
      <c r="I196" s="74">
        <f t="shared" si="14"/>
        <v>1929681.8908262071</v>
      </c>
      <c r="J196" s="74">
        <f t="shared" si="10"/>
        <v>-39059.294731850554</v>
      </c>
      <c r="K196" s="74">
        <f t="shared" si="11"/>
        <v>-7541.8400566457594</v>
      </c>
      <c r="L196" s="74">
        <f t="shared" si="12"/>
        <v>-31517.454675204794</v>
      </c>
      <c r="M196" s="74">
        <f t="shared" si="13"/>
        <v>1898164.4361510023</v>
      </c>
    </row>
    <row r="197" spans="8:17" x14ac:dyDescent="0.3">
      <c r="H197" s="209">
        <v>187</v>
      </c>
      <c r="I197" s="74">
        <f t="shared" si="14"/>
        <v>1898164.4361510023</v>
      </c>
      <c r="J197" s="74">
        <f t="shared" si="10"/>
        <v>-39059.294731850554</v>
      </c>
      <c r="K197" s="74">
        <f t="shared" si="11"/>
        <v>-7418.659337956834</v>
      </c>
      <c r="L197" s="74">
        <f t="shared" si="12"/>
        <v>-31640.635393893721</v>
      </c>
      <c r="M197" s="74">
        <f t="shared" si="13"/>
        <v>1866523.8007571085</v>
      </c>
    </row>
    <row r="198" spans="8:17" x14ac:dyDescent="0.3">
      <c r="H198" s="209">
        <v>188</v>
      </c>
      <c r="I198" s="74">
        <f t="shared" si="14"/>
        <v>1866523.8007571085</v>
      </c>
      <c r="J198" s="74">
        <f t="shared" si="10"/>
        <v>-39059.294731850554</v>
      </c>
      <c r="K198" s="74">
        <f t="shared" si="11"/>
        <v>-7294.9971879590321</v>
      </c>
      <c r="L198" s="74">
        <f t="shared" si="12"/>
        <v>-31764.297543891524</v>
      </c>
      <c r="M198" s="74">
        <f t="shared" si="13"/>
        <v>1834759.503213217</v>
      </c>
    </row>
    <row r="199" spans="8:17" x14ac:dyDescent="0.3">
      <c r="H199" s="209">
        <v>189</v>
      </c>
      <c r="I199" s="74">
        <f t="shared" si="14"/>
        <v>1834759.503213217</v>
      </c>
      <c r="J199" s="74">
        <f t="shared" si="10"/>
        <v>-39059.294731850554</v>
      </c>
      <c r="K199" s="74">
        <f t="shared" si="11"/>
        <v>-7170.8517250583227</v>
      </c>
      <c r="L199" s="74">
        <f t="shared" si="12"/>
        <v>-31888.443006792229</v>
      </c>
      <c r="M199" s="74">
        <f t="shared" si="13"/>
        <v>1802871.0602064247</v>
      </c>
    </row>
    <row r="200" spans="8:17" x14ac:dyDescent="0.3">
      <c r="H200" s="209">
        <v>190</v>
      </c>
      <c r="I200" s="74">
        <f t="shared" si="14"/>
        <v>1802871.0602064247</v>
      </c>
      <c r="J200" s="74">
        <f t="shared" si="10"/>
        <v>-39059.294731850554</v>
      </c>
      <c r="K200" s="74">
        <f t="shared" si="11"/>
        <v>-7046.2210603067761</v>
      </c>
      <c r="L200" s="74">
        <f t="shared" si="12"/>
        <v>-32013.073671543778</v>
      </c>
      <c r="M200" s="74">
        <f t="shared" si="13"/>
        <v>1770857.9865348809</v>
      </c>
    </row>
    <row r="201" spans="8:17" x14ac:dyDescent="0.3">
      <c r="H201" s="209">
        <v>191</v>
      </c>
      <c r="I201" s="74">
        <f t="shared" si="14"/>
        <v>1770857.9865348809</v>
      </c>
      <c r="J201" s="74">
        <f t="shared" si="10"/>
        <v>-39059.294731850554</v>
      </c>
      <c r="K201" s="74">
        <f t="shared" si="11"/>
        <v>-6921.1032973738256</v>
      </c>
      <c r="L201" s="74">
        <f t="shared" si="12"/>
        <v>-32138.191434476728</v>
      </c>
      <c r="M201" s="74">
        <f t="shared" si="13"/>
        <v>1738719.7951004042</v>
      </c>
      <c r="O201" s="76" t="s">
        <v>191</v>
      </c>
      <c r="P201" s="76" t="s">
        <v>192</v>
      </c>
      <c r="Q201" s="76" t="s">
        <v>193</v>
      </c>
    </row>
    <row r="202" spans="8:17" x14ac:dyDescent="0.3">
      <c r="H202" s="209">
        <v>192</v>
      </c>
      <c r="I202" s="74">
        <f t="shared" si="14"/>
        <v>1738719.7951004042</v>
      </c>
      <c r="J202" s="74">
        <f t="shared" si="10"/>
        <v>-39059.294731850554</v>
      </c>
      <c r="K202" s="74">
        <f t="shared" si="11"/>
        <v>-6795.4965325174126</v>
      </c>
      <c r="L202" s="74">
        <f t="shared" si="12"/>
        <v>-32263.798199333141</v>
      </c>
      <c r="M202" s="75">
        <f t="shared" si="13"/>
        <v>1706455.9969010709</v>
      </c>
      <c r="O202" s="74">
        <f>SUM(K191:K202)</f>
        <v>-89729.360956560107</v>
      </c>
      <c r="P202" s="74">
        <f>SUM(L191:L202)</f>
        <v>-378982.1758256465</v>
      </c>
      <c r="Q202" s="74">
        <f>SUM(J191:J202)</f>
        <v>-468711.53678220668</v>
      </c>
    </row>
    <row r="203" spans="8:17" x14ac:dyDescent="0.3">
      <c r="H203" s="209">
        <v>193</v>
      </c>
      <c r="I203" s="74">
        <f t="shared" si="14"/>
        <v>1706455.9969010709</v>
      </c>
      <c r="J203" s="74">
        <f t="shared" si="10"/>
        <v>-39059.294731850554</v>
      </c>
      <c r="K203" s="74">
        <f t="shared" si="11"/>
        <v>-6669.3988545550183</v>
      </c>
      <c r="L203" s="74">
        <f t="shared" si="12"/>
        <v>-32389.895877295538</v>
      </c>
      <c r="M203" s="74">
        <f t="shared" si="13"/>
        <v>1674066.1010237753</v>
      </c>
      <c r="Q203" s="74"/>
    </row>
    <row r="204" spans="8:17" x14ac:dyDescent="0.3">
      <c r="H204" s="209">
        <v>194</v>
      </c>
      <c r="I204" s="74">
        <f t="shared" si="14"/>
        <v>1674066.1010237753</v>
      </c>
      <c r="J204" s="74">
        <f t="shared" ref="J204:J250" si="15">IF(AND($N$5,H204&lt;=$N$6),K204,PMT($H$6/$I$6,IF($N$5,$H$7-$N$6,$H$7),$H$5))</f>
        <v>-39059.294731850554</v>
      </c>
      <c r="K204" s="74">
        <f t="shared" ref="K204:K250" si="16">+$H$6/$I$6*M203*-1</f>
        <v>-6542.8083448345878</v>
      </c>
      <c r="L204" s="74">
        <f t="shared" ref="L204:L250" si="17">J204-K204</f>
        <v>-32516.486387015968</v>
      </c>
      <c r="M204" s="74">
        <f t="shared" ref="M204:M250" si="18">I204+L204</f>
        <v>1641549.6146367593</v>
      </c>
    </row>
    <row r="205" spans="8:17" x14ac:dyDescent="0.3">
      <c r="H205" s="209">
        <v>195</v>
      </c>
      <c r="I205" s="74">
        <f t="shared" ref="I205:I250" si="19">M204</f>
        <v>1641549.6146367593</v>
      </c>
      <c r="J205" s="74">
        <f t="shared" si="15"/>
        <v>-39059.294731850554</v>
      </c>
      <c r="K205" s="74">
        <f t="shared" si="16"/>
        <v>-6415.7230772053335</v>
      </c>
      <c r="L205" s="74">
        <f t="shared" si="17"/>
        <v>-32643.57165464522</v>
      </c>
      <c r="M205" s="74">
        <f t="shared" si="18"/>
        <v>1608906.042982114</v>
      </c>
    </row>
    <row r="206" spans="8:17" x14ac:dyDescent="0.3">
      <c r="H206" s="209">
        <v>196</v>
      </c>
      <c r="I206" s="74">
        <f t="shared" si="19"/>
        <v>1608906.042982114</v>
      </c>
      <c r="J206" s="74">
        <f t="shared" si="15"/>
        <v>-39059.294731850554</v>
      </c>
      <c r="K206" s="74">
        <f t="shared" si="16"/>
        <v>-6288.141117988429</v>
      </c>
      <c r="L206" s="74">
        <f t="shared" si="17"/>
        <v>-32771.153613862123</v>
      </c>
      <c r="M206" s="74">
        <f t="shared" si="18"/>
        <v>1576134.8893682519</v>
      </c>
    </row>
    <row r="207" spans="8:17" x14ac:dyDescent="0.3">
      <c r="H207" s="209">
        <v>197</v>
      </c>
      <c r="I207" s="74">
        <f t="shared" si="19"/>
        <v>1576134.8893682519</v>
      </c>
      <c r="J207" s="74">
        <f t="shared" si="15"/>
        <v>-39059.294731850554</v>
      </c>
      <c r="K207" s="74">
        <f t="shared" si="16"/>
        <v>-6160.0605259475842</v>
      </c>
      <c r="L207" s="74">
        <f t="shared" si="17"/>
        <v>-32899.234205902969</v>
      </c>
      <c r="M207" s="74">
        <f t="shared" si="18"/>
        <v>1543235.6551623489</v>
      </c>
    </row>
    <row r="208" spans="8:17" x14ac:dyDescent="0.3">
      <c r="H208" s="209">
        <v>198</v>
      </c>
      <c r="I208" s="74">
        <f t="shared" si="19"/>
        <v>1543235.6551623489</v>
      </c>
      <c r="J208" s="74">
        <f t="shared" si="15"/>
        <v>-39059.294731850554</v>
      </c>
      <c r="K208" s="74">
        <f t="shared" si="16"/>
        <v>-6031.4793522595128</v>
      </c>
      <c r="L208" s="74">
        <f t="shared" si="17"/>
        <v>-33027.81537959104</v>
      </c>
      <c r="M208" s="74">
        <f t="shared" si="18"/>
        <v>1510207.8397827579</v>
      </c>
    </row>
    <row r="209" spans="8:17" x14ac:dyDescent="0.3">
      <c r="H209" s="209">
        <v>199</v>
      </c>
      <c r="I209" s="74">
        <f t="shared" si="19"/>
        <v>1510207.8397827579</v>
      </c>
      <c r="J209" s="74">
        <f t="shared" si="15"/>
        <v>-39059.294731850554</v>
      </c>
      <c r="K209" s="74">
        <f t="shared" si="16"/>
        <v>-5902.3956404842784</v>
      </c>
      <c r="L209" s="74">
        <f t="shared" si="17"/>
        <v>-33156.899091366278</v>
      </c>
      <c r="M209" s="74">
        <f t="shared" si="18"/>
        <v>1477050.9406913917</v>
      </c>
    </row>
    <row r="210" spans="8:17" x14ac:dyDescent="0.3">
      <c r="H210" s="209">
        <v>200</v>
      </c>
      <c r="I210" s="74">
        <f t="shared" si="19"/>
        <v>1477050.9406913917</v>
      </c>
      <c r="J210" s="74">
        <f t="shared" si="15"/>
        <v>-39059.294731850554</v>
      </c>
      <c r="K210" s="74">
        <f t="shared" si="16"/>
        <v>-5772.8074265355226</v>
      </c>
      <c r="L210" s="74">
        <f t="shared" si="17"/>
        <v>-33286.48730531503</v>
      </c>
      <c r="M210" s="74">
        <f t="shared" si="18"/>
        <v>1443764.4533860767</v>
      </c>
    </row>
    <row r="211" spans="8:17" x14ac:dyDescent="0.3">
      <c r="H211" s="209">
        <v>201</v>
      </c>
      <c r="I211" s="74">
        <f t="shared" si="19"/>
        <v>1443764.4533860767</v>
      </c>
      <c r="J211" s="74">
        <f t="shared" si="15"/>
        <v>-39059.294731850554</v>
      </c>
      <c r="K211" s="74">
        <f t="shared" si="16"/>
        <v>-5642.7127386505827</v>
      </c>
      <c r="L211" s="74">
        <f t="shared" si="17"/>
        <v>-33416.581993199972</v>
      </c>
      <c r="M211" s="74">
        <f t="shared" si="18"/>
        <v>1410347.8713928768</v>
      </c>
    </row>
    <row r="212" spans="8:17" x14ac:dyDescent="0.3">
      <c r="H212" s="209">
        <v>202</v>
      </c>
      <c r="I212" s="74">
        <f t="shared" si="19"/>
        <v>1410347.8713928768</v>
      </c>
      <c r="J212" s="74">
        <f t="shared" si="15"/>
        <v>-39059.294731850554</v>
      </c>
      <c r="K212" s="74">
        <f t="shared" si="16"/>
        <v>-5512.1095973604934</v>
      </c>
      <c r="L212" s="74">
        <f t="shared" si="17"/>
        <v>-33547.185134490064</v>
      </c>
      <c r="M212" s="74">
        <f t="shared" si="18"/>
        <v>1376800.6862583868</v>
      </c>
    </row>
    <row r="213" spans="8:17" x14ac:dyDescent="0.3">
      <c r="H213" s="209">
        <v>203</v>
      </c>
      <c r="I213" s="74">
        <f t="shared" si="19"/>
        <v>1376800.6862583868</v>
      </c>
      <c r="J213" s="74">
        <f t="shared" si="15"/>
        <v>-39059.294731850554</v>
      </c>
      <c r="K213" s="74">
        <f t="shared" si="16"/>
        <v>-5380.9960154598612</v>
      </c>
      <c r="L213" s="74">
        <f t="shared" si="17"/>
        <v>-33678.298716390695</v>
      </c>
      <c r="M213" s="74">
        <f t="shared" si="18"/>
        <v>1343122.3875419961</v>
      </c>
      <c r="O213" s="76" t="s">
        <v>191</v>
      </c>
      <c r="P213" s="76" t="s">
        <v>192</v>
      </c>
      <c r="Q213" s="76" t="s">
        <v>193</v>
      </c>
    </row>
    <row r="214" spans="8:17" x14ac:dyDescent="0.3">
      <c r="H214" s="209">
        <v>204</v>
      </c>
      <c r="I214" s="74">
        <f t="shared" si="19"/>
        <v>1343122.3875419961</v>
      </c>
      <c r="J214" s="74">
        <f t="shared" si="15"/>
        <v>-39059.294731850554</v>
      </c>
      <c r="K214" s="74">
        <f t="shared" si="16"/>
        <v>-5249.3699979766343</v>
      </c>
      <c r="L214" s="74">
        <f t="shared" si="17"/>
        <v>-33809.924733873922</v>
      </c>
      <c r="M214" s="75">
        <f t="shared" si="18"/>
        <v>1309312.4628081222</v>
      </c>
      <c r="O214" s="74">
        <f>SUM(K203:K214)</f>
        <v>-71568.002689257846</v>
      </c>
      <c r="P214" s="74">
        <f>SUM(L203:L214)</f>
        <v>-397143.53409294877</v>
      </c>
      <c r="Q214" s="74">
        <f>SUM(J203:J214)</f>
        <v>-468711.53678220668</v>
      </c>
    </row>
    <row r="215" spans="8:17" x14ac:dyDescent="0.3">
      <c r="H215" s="209">
        <v>205</v>
      </c>
      <c r="I215" s="74">
        <f t="shared" si="19"/>
        <v>1309312.4628081222</v>
      </c>
      <c r="J215" s="74">
        <f t="shared" si="15"/>
        <v>-39059.294731850554</v>
      </c>
      <c r="K215" s="74">
        <f t="shared" si="16"/>
        <v>-5117.2295421417439</v>
      </c>
      <c r="L215" s="74">
        <f t="shared" si="17"/>
        <v>-33942.06518970881</v>
      </c>
      <c r="M215" s="74">
        <f t="shared" si="18"/>
        <v>1275370.3976184134</v>
      </c>
    </row>
    <row r="216" spans="8:17" x14ac:dyDescent="0.3">
      <c r="H216" s="209">
        <v>206</v>
      </c>
      <c r="I216" s="74">
        <f t="shared" si="19"/>
        <v>1275370.3976184134</v>
      </c>
      <c r="J216" s="74">
        <f t="shared" si="15"/>
        <v>-39059.294731850554</v>
      </c>
      <c r="K216" s="74">
        <f t="shared" si="16"/>
        <v>-4984.5726373586322</v>
      </c>
      <c r="L216" s="74">
        <f t="shared" si="17"/>
        <v>-34074.722094491925</v>
      </c>
      <c r="M216" s="74">
        <f t="shared" si="18"/>
        <v>1241295.6755239216</v>
      </c>
    </row>
    <row r="217" spans="8:17" x14ac:dyDescent="0.3">
      <c r="H217" s="209">
        <v>207</v>
      </c>
      <c r="I217" s="74">
        <f t="shared" si="19"/>
        <v>1241295.6755239216</v>
      </c>
      <c r="J217" s="74">
        <f t="shared" si="15"/>
        <v>-39059.294731850554</v>
      </c>
      <c r="K217" s="74">
        <f t="shared" si="16"/>
        <v>-4851.3972651726599</v>
      </c>
      <c r="L217" s="74">
        <f t="shared" si="17"/>
        <v>-34207.897466677896</v>
      </c>
      <c r="M217" s="74">
        <f t="shared" si="18"/>
        <v>1207087.7780572437</v>
      </c>
    </row>
    <row r="218" spans="8:17" x14ac:dyDescent="0.3">
      <c r="H218" s="209">
        <v>208</v>
      </c>
      <c r="I218" s="74">
        <f t="shared" si="19"/>
        <v>1207087.7780572437</v>
      </c>
      <c r="J218" s="74">
        <f t="shared" si="15"/>
        <v>-39059.294731850554</v>
      </c>
      <c r="K218" s="74">
        <f t="shared" si="16"/>
        <v>-4717.7013992403936</v>
      </c>
      <c r="L218" s="74">
        <f t="shared" si="17"/>
        <v>-34341.593332610159</v>
      </c>
      <c r="M218" s="74">
        <f t="shared" si="18"/>
        <v>1172746.1847246336</v>
      </c>
    </row>
    <row r="219" spans="8:17" x14ac:dyDescent="0.3">
      <c r="H219" s="209">
        <v>209</v>
      </c>
      <c r="I219" s="74">
        <f t="shared" si="19"/>
        <v>1172746.1847246336</v>
      </c>
      <c r="J219" s="74">
        <f t="shared" si="15"/>
        <v>-39059.294731850554</v>
      </c>
      <c r="K219" s="74">
        <f t="shared" si="16"/>
        <v>-4583.4830052987763</v>
      </c>
      <c r="L219" s="74">
        <f t="shared" si="17"/>
        <v>-34475.811726551779</v>
      </c>
      <c r="M219" s="74">
        <f t="shared" si="18"/>
        <v>1138270.3729980818</v>
      </c>
    </row>
    <row r="220" spans="8:17" x14ac:dyDescent="0.3">
      <c r="H220" s="209">
        <v>210</v>
      </c>
      <c r="I220" s="74">
        <f t="shared" si="19"/>
        <v>1138270.3729980818</v>
      </c>
      <c r="J220" s="74">
        <f t="shared" si="15"/>
        <v>-39059.294731850554</v>
      </c>
      <c r="K220" s="74">
        <f t="shared" si="16"/>
        <v>-4448.7400411341696</v>
      </c>
      <c r="L220" s="74">
        <f t="shared" si="17"/>
        <v>-34610.554690716381</v>
      </c>
      <c r="M220" s="74">
        <f t="shared" si="18"/>
        <v>1103659.8183073655</v>
      </c>
    </row>
    <row r="221" spans="8:17" x14ac:dyDescent="0.3">
      <c r="H221" s="209">
        <v>211</v>
      </c>
      <c r="I221" s="74">
        <f t="shared" si="19"/>
        <v>1103659.8183073655</v>
      </c>
      <c r="J221" s="74">
        <f t="shared" si="15"/>
        <v>-39059.294731850554</v>
      </c>
      <c r="K221" s="74">
        <f t="shared" si="16"/>
        <v>-4313.4704565512866</v>
      </c>
      <c r="L221" s="74">
        <f t="shared" si="17"/>
        <v>-34745.824275299266</v>
      </c>
      <c r="M221" s="74">
        <f t="shared" si="18"/>
        <v>1068913.9940320663</v>
      </c>
    </row>
    <row r="222" spans="8:17" x14ac:dyDescent="0.3">
      <c r="H222" s="209">
        <v>212</v>
      </c>
      <c r="I222" s="74">
        <f t="shared" si="19"/>
        <v>1068913.9940320663</v>
      </c>
      <c r="J222" s="74">
        <f t="shared" si="15"/>
        <v>-39059.294731850554</v>
      </c>
      <c r="K222" s="74">
        <f t="shared" si="16"/>
        <v>-4177.6721933419922</v>
      </c>
      <c r="L222" s="74">
        <f t="shared" si="17"/>
        <v>-34881.622538508564</v>
      </c>
      <c r="M222" s="74">
        <f t="shared" si="18"/>
        <v>1034032.3714935577</v>
      </c>
    </row>
    <row r="223" spans="8:17" x14ac:dyDescent="0.3">
      <c r="H223" s="209">
        <v>213</v>
      </c>
      <c r="I223" s="74">
        <f t="shared" si="19"/>
        <v>1034032.3714935577</v>
      </c>
      <c r="J223" s="74">
        <f t="shared" si="15"/>
        <v>-39059.294731850554</v>
      </c>
      <c r="K223" s="74">
        <f t="shared" si="16"/>
        <v>-4041.3431852539879</v>
      </c>
      <c r="L223" s="74">
        <f t="shared" si="17"/>
        <v>-35017.951546596567</v>
      </c>
      <c r="M223" s="74">
        <f t="shared" si="18"/>
        <v>999014.4199469611</v>
      </c>
    </row>
    <row r="224" spans="8:17" x14ac:dyDescent="0.3">
      <c r="H224" s="209">
        <v>214</v>
      </c>
      <c r="I224" s="74">
        <f t="shared" si="19"/>
        <v>999014.4199469611</v>
      </c>
      <c r="J224" s="74">
        <f t="shared" si="15"/>
        <v>-39059.294731850554</v>
      </c>
      <c r="K224" s="74">
        <f t="shared" si="16"/>
        <v>-3904.4813579593729</v>
      </c>
      <c r="L224" s="74">
        <f t="shared" si="17"/>
        <v>-35154.813373891178</v>
      </c>
      <c r="M224" s="74">
        <f t="shared" si="18"/>
        <v>963859.60657306993</v>
      </c>
    </row>
    <row r="225" spans="8:17" x14ac:dyDescent="0.3">
      <c r="H225" s="209">
        <v>215</v>
      </c>
      <c r="I225" s="74">
        <f t="shared" si="19"/>
        <v>963859.60657306993</v>
      </c>
      <c r="J225" s="74">
        <f t="shared" si="15"/>
        <v>-39059.294731850554</v>
      </c>
      <c r="K225" s="74">
        <f t="shared" si="16"/>
        <v>-3767.0846290230816</v>
      </c>
      <c r="L225" s="74">
        <f t="shared" si="17"/>
        <v>-35292.21010282747</v>
      </c>
      <c r="M225" s="74">
        <f t="shared" si="18"/>
        <v>928567.39647024241</v>
      </c>
      <c r="O225" s="76" t="s">
        <v>191</v>
      </c>
      <c r="P225" s="76" t="s">
        <v>192</v>
      </c>
      <c r="Q225" s="76" t="s">
        <v>193</v>
      </c>
    </row>
    <row r="226" spans="8:17" x14ac:dyDescent="0.3">
      <c r="H226" s="209">
        <v>216</v>
      </c>
      <c r="I226" s="74">
        <f t="shared" si="19"/>
        <v>928567.39647024241</v>
      </c>
      <c r="J226" s="74">
        <f t="shared" si="15"/>
        <v>-39059.294731850554</v>
      </c>
      <c r="K226" s="74">
        <f t="shared" si="16"/>
        <v>-3629.1509078711974</v>
      </c>
      <c r="L226" s="74">
        <f t="shared" si="17"/>
        <v>-35430.143823979357</v>
      </c>
      <c r="M226" s="75">
        <f t="shared" si="18"/>
        <v>893137.25264626311</v>
      </c>
      <c r="O226" s="74">
        <f>SUM(K215:K226)</f>
        <v>-52536.326620347296</v>
      </c>
      <c r="P226" s="74">
        <f>SUM(L215:L226)</f>
        <v>-416175.21016185929</v>
      </c>
      <c r="Q226" s="74">
        <f>SUM(J215:J226)</f>
        <v>-468711.53678220668</v>
      </c>
    </row>
    <row r="227" spans="8:17" x14ac:dyDescent="0.3">
      <c r="H227" s="209">
        <v>217</v>
      </c>
      <c r="I227" s="74">
        <f t="shared" si="19"/>
        <v>893137.25264626311</v>
      </c>
      <c r="J227" s="74">
        <f t="shared" si="15"/>
        <v>-39059.294731850554</v>
      </c>
      <c r="K227" s="74">
        <f t="shared" si="16"/>
        <v>-3490.678095759145</v>
      </c>
      <c r="L227" s="74">
        <f t="shared" si="17"/>
        <v>-35568.616636091407</v>
      </c>
      <c r="M227" s="74">
        <f t="shared" si="18"/>
        <v>857568.63601017173</v>
      </c>
    </row>
    <row r="228" spans="8:17" x14ac:dyDescent="0.3">
      <c r="H228" s="209">
        <v>218</v>
      </c>
      <c r="I228" s="74">
        <f t="shared" si="19"/>
        <v>857568.63601017173</v>
      </c>
      <c r="J228" s="74">
        <f t="shared" si="15"/>
        <v>-39059.294731850554</v>
      </c>
      <c r="K228" s="74">
        <f t="shared" si="16"/>
        <v>-3351.6640857397542</v>
      </c>
      <c r="L228" s="74">
        <f t="shared" si="17"/>
        <v>-35707.630646110803</v>
      </c>
      <c r="M228" s="74">
        <f t="shared" si="18"/>
        <v>821861.00536406087</v>
      </c>
    </row>
    <row r="229" spans="8:17" x14ac:dyDescent="0.3">
      <c r="H229" s="209">
        <v>219</v>
      </c>
      <c r="I229" s="74">
        <f t="shared" si="19"/>
        <v>821861.00536406087</v>
      </c>
      <c r="J229" s="74">
        <f t="shared" si="15"/>
        <v>-39059.294731850554</v>
      </c>
      <c r="K229" s="74">
        <f t="shared" si="16"/>
        <v>-3212.1067626312042</v>
      </c>
      <c r="L229" s="74">
        <f t="shared" si="17"/>
        <v>-35847.187969219347</v>
      </c>
      <c r="M229" s="74">
        <f t="shared" si="18"/>
        <v>786013.81739484146</v>
      </c>
    </row>
    <row r="230" spans="8:17" x14ac:dyDescent="0.3">
      <c r="H230" s="209">
        <v>220</v>
      </c>
      <c r="I230" s="74">
        <f t="shared" si="19"/>
        <v>786013.81739484146</v>
      </c>
      <c r="J230" s="74">
        <f t="shared" si="15"/>
        <v>-39059.294731850554</v>
      </c>
      <c r="K230" s="74">
        <f t="shared" si="16"/>
        <v>-3072.0040029848387</v>
      </c>
      <c r="L230" s="74">
        <f t="shared" si="17"/>
        <v>-35987.290728865715</v>
      </c>
      <c r="M230" s="74">
        <f t="shared" si="18"/>
        <v>750026.52666597581</v>
      </c>
    </row>
    <row r="231" spans="8:17" x14ac:dyDescent="0.3">
      <c r="H231" s="209">
        <v>221</v>
      </c>
      <c r="I231" s="74">
        <f t="shared" si="19"/>
        <v>750026.52666597581</v>
      </c>
      <c r="J231" s="74">
        <f t="shared" si="15"/>
        <v>-39059.294731850554</v>
      </c>
      <c r="K231" s="74">
        <f t="shared" si="16"/>
        <v>-2931.3536750528551</v>
      </c>
      <c r="L231" s="74">
        <f t="shared" si="17"/>
        <v>-36127.941056797696</v>
      </c>
      <c r="M231" s="74">
        <f t="shared" si="18"/>
        <v>713898.58560917806</v>
      </c>
    </row>
    <row r="232" spans="8:17" x14ac:dyDescent="0.3">
      <c r="H232" s="209">
        <v>222</v>
      </c>
      <c r="I232" s="74">
        <f t="shared" si="19"/>
        <v>713898.58560917806</v>
      </c>
      <c r="J232" s="74">
        <f t="shared" si="15"/>
        <v>-39059.294731850554</v>
      </c>
      <c r="K232" s="74">
        <f t="shared" si="16"/>
        <v>-2790.1536387558708</v>
      </c>
      <c r="L232" s="74">
        <f t="shared" si="17"/>
        <v>-36269.14109309468</v>
      </c>
      <c r="M232" s="74">
        <f t="shared" si="18"/>
        <v>677629.44451608334</v>
      </c>
    </row>
    <row r="233" spans="8:17" x14ac:dyDescent="0.3">
      <c r="H233" s="209">
        <v>223</v>
      </c>
      <c r="I233" s="74">
        <f t="shared" si="19"/>
        <v>677629.44451608334</v>
      </c>
      <c r="J233" s="74">
        <f t="shared" si="15"/>
        <v>-39059.294731850554</v>
      </c>
      <c r="K233" s="74">
        <f t="shared" si="16"/>
        <v>-2648.4017456503589</v>
      </c>
      <c r="L233" s="74">
        <f t="shared" si="17"/>
        <v>-36410.892986200197</v>
      </c>
      <c r="M233" s="74">
        <f t="shared" si="18"/>
        <v>641218.55152988317</v>
      </c>
    </row>
    <row r="234" spans="8:17" x14ac:dyDescent="0.3">
      <c r="H234" s="209">
        <v>224</v>
      </c>
      <c r="I234" s="74">
        <f t="shared" si="19"/>
        <v>641218.55152988317</v>
      </c>
      <c r="J234" s="74">
        <f t="shared" si="15"/>
        <v>-39059.294731850554</v>
      </c>
      <c r="K234" s="74">
        <f t="shared" si="16"/>
        <v>-2506.0958388959598</v>
      </c>
      <c r="L234" s="74">
        <f t="shared" si="17"/>
        <v>-36553.198892954591</v>
      </c>
      <c r="M234" s="74">
        <f t="shared" si="18"/>
        <v>604665.35263692855</v>
      </c>
    </row>
    <row r="235" spans="8:17" x14ac:dyDescent="0.3">
      <c r="H235" s="209">
        <v>225</v>
      </c>
      <c r="I235" s="74">
        <f t="shared" si="19"/>
        <v>604665.35263692855</v>
      </c>
      <c r="J235" s="74">
        <f t="shared" si="15"/>
        <v>-39059.294731850554</v>
      </c>
      <c r="K235" s="74">
        <f t="shared" si="16"/>
        <v>-2363.2337532226625</v>
      </c>
      <c r="L235" s="74">
        <f t="shared" si="17"/>
        <v>-36696.060978627895</v>
      </c>
      <c r="M235" s="74">
        <f t="shared" si="18"/>
        <v>567969.29165830067</v>
      </c>
    </row>
    <row r="236" spans="8:17" x14ac:dyDescent="0.3">
      <c r="H236" s="209">
        <v>226</v>
      </c>
      <c r="I236" s="74">
        <f t="shared" si="19"/>
        <v>567969.29165830067</v>
      </c>
      <c r="J236" s="74">
        <f t="shared" si="15"/>
        <v>-39059.294731850554</v>
      </c>
      <c r="K236" s="74">
        <f t="shared" si="16"/>
        <v>-2219.8133148978582</v>
      </c>
      <c r="L236" s="74">
        <f t="shared" si="17"/>
        <v>-36839.481416952694</v>
      </c>
      <c r="M236" s="74">
        <f t="shared" si="18"/>
        <v>531129.81024134799</v>
      </c>
    </row>
    <row r="237" spans="8:17" x14ac:dyDescent="0.3">
      <c r="H237" s="209">
        <v>227</v>
      </c>
      <c r="I237" s="74">
        <f t="shared" si="19"/>
        <v>531129.81024134799</v>
      </c>
      <c r="J237" s="74">
        <f t="shared" si="15"/>
        <v>-39059.294731850554</v>
      </c>
      <c r="K237" s="74">
        <f t="shared" si="16"/>
        <v>-2075.8323416932681</v>
      </c>
      <c r="L237" s="74">
        <f t="shared" si="17"/>
        <v>-36983.462390157285</v>
      </c>
      <c r="M237" s="74">
        <f t="shared" si="18"/>
        <v>494146.34785119072</v>
      </c>
      <c r="O237" s="76" t="s">
        <v>191</v>
      </c>
      <c r="P237" s="76" t="s">
        <v>192</v>
      </c>
      <c r="Q237" s="76" t="s">
        <v>193</v>
      </c>
    </row>
    <row r="238" spans="8:17" x14ac:dyDescent="0.3">
      <c r="H238" s="209">
        <v>228</v>
      </c>
      <c r="I238" s="74">
        <f t="shared" si="19"/>
        <v>494146.34785119072</v>
      </c>
      <c r="J238" s="74">
        <f t="shared" si="15"/>
        <v>-39059.294731850554</v>
      </c>
      <c r="K238" s="74">
        <f t="shared" si="16"/>
        <v>-1931.288642851737</v>
      </c>
      <c r="L238" s="74">
        <f t="shared" si="17"/>
        <v>-37128.006088998816</v>
      </c>
      <c r="M238" s="75">
        <f t="shared" si="18"/>
        <v>457018.34176219191</v>
      </c>
      <c r="O238" s="74">
        <f>SUM(K227:K238)</f>
        <v>-32592.625898135513</v>
      </c>
      <c r="P238" s="74">
        <f>SUM(L227:L238)</f>
        <v>-436118.91088407108</v>
      </c>
      <c r="Q238" s="74">
        <f>SUM(J227:J238)</f>
        <v>-468711.53678220668</v>
      </c>
    </row>
    <row r="239" spans="8:17" x14ac:dyDescent="0.3">
      <c r="H239" s="209">
        <v>229</v>
      </c>
      <c r="I239" s="74">
        <f t="shared" si="19"/>
        <v>457018.34176219191</v>
      </c>
      <c r="J239" s="74">
        <f t="shared" si="15"/>
        <v>-39059.294731850554</v>
      </c>
      <c r="K239" s="74">
        <f t="shared" si="16"/>
        <v>-1786.1800190539</v>
      </c>
      <c r="L239" s="74">
        <f t="shared" si="17"/>
        <v>-37273.114712796654</v>
      </c>
      <c r="M239" s="74">
        <f t="shared" si="18"/>
        <v>419745.22704939527</v>
      </c>
    </row>
    <row r="240" spans="8:17" x14ac:dyDescent="0.3">
      <c r="H240" s="209">
        <v>230</v>
      </c>
      <c r="I240" s="74">
        <f t="shared" si="19"/>
        <v>419745.22704939527</v>
      </c>
      <c r="J240" s="74">
        <f t="shared" si="15"/>
        <v>-39059.294731850554</v>
      </c>
      <c r="K240" s="74">
        <f t="shared" si="16"/>
        <v>-1640.5042623847198</v>
      </c>
      <c r="L240" s="74">
        <f t="shared" si="17"/>
        <v>-37418.790469465835</v>
      </c>
      <c r="M240" s="74">
        <f t="shared" si="18"/>
        <v>382326.43657992943</v>
      </c>
    </row>
    <row r="241" spans="8:17" x14ac:dyDescent="0.3">
      <c r="H241" s="209">
        <v>231</v>
      </c>
      <c r="I241" s="74">
        <f t="shared" si="19"/>
        <v>382326.43657992943</v>
      </c>
      <c r="J241" s="74">
        <f t="shared" si="15"/>
        <v>-39059.294731850554</v>
      </c>
      <c r="K241" s="74">
        <f t="shared" si="16"/>
        <v>-1494.2591562998907</v>
      </c>
      <c r="L241" s="74">
        <f t="shared" si="17"/>
        <v>-37565.035575550661</v>
      </c>
      <c r="M241" s="74">
        <f t="shared" si="18"/>
        <v>344761.4010043788</v>
      </c>
    </row>
    <row r="242" spans="8:17" x14ac:dyDescent="0.3">
      <c r="H242" s="209">
        <v>232</v>
      </c>
      <c r="I242" s="74">
        <f t="shared" si="19"/>
        <v>344761.4010043788</v>
      </c>
      <c r="J242" s="74">
        <f t="shared" si="15"/>
        <v>-39059.294731850554</v>
      </c>
      <c r="K242" s="74">
        <f t="shared" si="16"/>
        <v>-1347.4424755921136</v>
      </c>
      <c r="L242" s="74">
        <f t="shared" si="17"/>
        <v>-37711.85225625844</v>
      </c>
      <c r="M242" s="74">
        <f t="shared" si="18"/>
        <v>307049.54874812037</v>
      </c>
    </row>
    <row r="243" spans="8:17" x14ac:dyDescent="0.3">
      <c r="H243" s="209">
        <v>233</v>
      </c>
      <c r="I243" s="74">
        <f t="shared" si="19"/>
        <v>307049.54874812037</v>
      </c>
      <c r="J243" s="74">
        <f t="shared" si="15"/>
        <v>-39059.294731850554</v>
      </c>
      <c r="K243" s="74">
        <f t="shared" si="16"/>
        <v>-1200.051986357237</v>
      </c>
      <c r="L243" s="74">
        <f t="shared" si="17"/>
        <v>-37859.24274549332</v>
      </c>
      <c r="M243" s="74">
        <f t="shared" si="18"/>
        <v>269190.30600262707</v>
      </c>
    </row>
    <row r="244" spans="8:17" x14ac:dyDescent="0.3">
      <c r="H244" s="209">
        <v>234</v>
      </c>
      <c r="I244" s="74">
        <f t="shared" si="19"/>
        <v>269190.30600262707</v>
      </c>
      <c r="J244" s="74">
        <f t="shared" si="15"/>
        <v>-39059.294731850554</v>
      </c>
      <c r="K244" s="74">
        <f t="shared" si="16"/>
        <v>-1052.0854459602674</v>
      </c>
      <c r="L244" s="74">
        <f t="shared" si="17"/>
        <v>-38007.209285890283</v>
      </c>
      <c r="M244" s="74">
        <f t="shared" si="18"/>
        <v>231183.09671673679</v>
      </c>
    </row>
    <row r="245" spans="8:17" x14ac:dyDescent="0.3">
      <c r="H245" s="209">
        <v>235</v>
      </c>
      <c r="I245" s="74">
        <f t="shared" si="19"/>
        <v>231183.09671673679</v>
      </c>
      <c r="J245" s="74">
        <f t="shared" si="15"/>
        <v>-39059.294731850554</v>
      </c>
      <c r="K245" s="74">
        <f t="shared" si="16"/>
        <v>-903.54060300124627</v>
      </c>
      <c r="L245" s="74">
        <f t="shared" si="17"/>
        <v>-38155.754128849308</v>
      </c>
      <c r="M245" s="74">
        <f t="shared" si="18"/>
        <v>193027.34258788748</v>
      </c>
    </row>
    <row r="246" spans="8:17" x14ac:dyDescent="0.3">
      <c r="H246" s="209">
        <v>236</v>
      </c>
      <c r="I246" s="74">
        <f t="shared" si="19"/>
        <v>193027.34258788748</v>
      </c>
      <c r="J246" s="74">
        <f t="shared" si="15"/>
        <v>-39059.294731850554</v>
      </c>
      <c r="K246" s="74">
        <f t="shared" si="16"/>
        <v>-754.41519728099354</v>
      </c>
      <c r="L246" s="74">
        <f t="shared" si="17"/>
        <v>-38304.879534569562</v>
      </c>
      <c r="M246" s="74">
        <f t="shared" si="18"/>
        <v>154722.46305331792</v>
      </c>
    </row>
    <row r="247" spans="8:17" x14ac:dyDescent="0.3">
      <c r="H247" s="209">
        <v>237</v>
      </c>
      <c r="I247" s="74">
        <f t="shared" si="19"/>
        <v>154722.46305331792</v>
      </c>
      <c r="J247" s="74">
        <f t="shared" si="15"/>
        <v>-39059.294731850554</v>
      </c>
      <c r="K247" s="74">
        <f t="shared" si="16"/>
        <v>-604.70695976671743</v>
      </c>
      <c r="L247" s="74">
        <f t="shared" si="17"/>
        <v>-38454.58777208384</v>
      </c>
      <c r="M247" s="74">
        <f t="shared" si="18"/>
        <v>116267.87528123407</v>
      </c>
    </row>
    <row r="248" spans="8:17" x14ac:dyDescent="0.3">
      <c r="H248" s="209">
        <v>238</v>
      </c>
      <c r="I248" s="74">
        <f t="shared" si="19"/>
        <v>116267.87528123407</v>
      </c>
      <c r="J248" s="74">
        <f t="shared" si="15"/>
        <v>-39059.294731850554</v>
      </c>
      <c r="K248" s="74">
        <f t="shared" si="16"/>
        <v>-454.41361255748978</v>
      </c>
      <c r="L248" s="74">
        <f t="shared" si="17"/>
        <v>-38604.881119293066</v>
      </c>
      <c r="M248" s="74">
        <f t="shared" si="18"/>
        <v>77662.994161940995</v>
      </c>
    </row>
    <row r="249" spans="8:17" x14ac:dyDescent="0.3">
      <c r="H249" s="209">
        <v>239</v>
      </c>
      <c r="I249" s="74">
        <f t="shared" si="19"/>
        <v>77662.994161940995</v>
      </c>
      <c r="J249" s="74">
        <f t="shared" si="15"/>
        <v>-39059.294731850554</v>
      </c>
      <c r="K249" s="74">
        <f t="shared" si="16"/>
        <v>-303.53286884958601</v>
      </c>
      <c r="L249" s="74">
        <f t="shared" si="17"/>
        <v>-38755.761863000967</v>
      </c>
      <c r="M249" s="74">
        <f t="shared" si="18"/>
        <v>38907.232298940027</v>
      </c>
      <c r="O249" s="76" t="s">
        <v>191</v>
      </c>
      <c r="P249" s="76" t="s">
        <v>192</v>
      </c>
      <c r="Q249" s="76" t="s">
        <v>193</v>
      </c>
    </row>
    <row r="250" spans="8:17" x14ac:dyDescent="0.3">
      <c r="H250" s="209">
        <v>240</v>
      </c>
      <c r="I250" s="74">
        <f t="shared" si="19"/>
        <v>38907.232298940027</v>
      </c>
      <c r="J250" s="74">
        <f t="shared" si="15"/>
        <v>-39059.294731850554</v>
      </c>
      <c r="K250" s="74">
        <f t="shared" si="16"/>
        <v>-152.06243290169058</v>
      </c>
      <c r="L250" s="74">
        <f t="shared" si="17"/>
        <v>-38907.23229894886</v>
      </c>
      <c r="M250" s="75">
        <f t="shared" si="18"/>
        <v>-8.833012543618679E-9</v>
      </c>
      <c r="O250" s="74">
        <f>SUM(K239:K250)</f>
        <v>-11693.195020005853</v>
      </c>
      <c r="P250" s="74">
        <f>SUM(L239:L250)</f>
        <v>-457018.34176220075</v>
      </c>
      <c r="Q250" s="74">
        <f>SUM(J239:J250)</f>
        <v>-468711.53678220668</v>
      </c>
    </row>
  </sheetData>
  <mergeCells count="10">
    <mergeCell ref="E1:G1"/>
    <mergeCell ref="B12:D12"/>
    <mergeCell ref="B13:D13"/>
    <mergeCell ref="B14:D14"/>
    <mergeCell ref="G4:N4"/>
    <mergeCell ref="B7:D7"/>
    <mergeCell ref="B11:D11"/>
    <mergeCell ref="B8:D8"/>
    <mergeCell ref="B9:D9"/>
    <mergeCell ref="B10:D10"/>
  </mergeCells>
  <phoneticPr fontId="8" type="noConversion"/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CCF02-3473-4988-A27D-A7EA15F8171E}">
  <dimension ref="B1:R74"/>
  <sheetViews>
    <sheetView showGridLines="0" topLeftCell="A16" zoomScaleNormal="100" workbookViewId="0">
      <selection activeCell="K28" sqref="K28"/>
    </sheetView>
  </sheetViews>
  <sheetFormatPr defaultRowHeight="14.4" x14ac:dyDescent="0.3"/>
  <cols>
    <col min="8" max="8" width="13.44140625" hidden="1" customWidth="1"/>
    <col min="9" max="9" width="14.33203125" hidden="1" customWidth="1"/>
    <col min="10" max="10" width="14.88671875" bestFit="1" customWidth="1"/>
    <col min="11" max="11" width="15" bestFit="1" customWidth="1"/>
    <col min="12" max="12" width="14.33203125" hidden="1" customWidth="1"/>
    <col min="13" max="13" width="15" customWidth="1"/>
    <col min="14" max="14" width="14.33203125" hidden="1" customWidth="1"/>
    <col min="15" max="15" width="16.88671875" customWidth="1"/>
    <col min="16" max="16" width="14.33203125" hidden="1" customWidth="1"/>
    <col min="17" max="18" width="9.109375" hidden="1" customWidth="1"/>
  </cols>
  <sheetData>
    <row r="1" spans="2:18" ht="18" x14ac:dyDescent="0.35">
      <c r="E1" s="275" t="s">
        <v>0</v>
      </c>
      <c r="F1" s="275"/>
      <c r="G1" s="275"/>
      <c r="H1" s="275"/>
    </row>
    <row r="2" spans="2:18" ht="24.6" x14ac:dyDescent="0.4">
      <c r="B2" s="150" t="s">
        <v>194</v>
      </c>
    </row>
    <row r="3" spans="2:18" ht="18" x14ac:dyDescent="0.35">
      <c r="B3" s="4" t="str">
        <f>'Dashboard Control'!B3</f>
        <v>Miller Building</v>
      </c>
    </row>
    <row r="4" spans="2:18" x14ac:dyDescent="0.3">
      <c r="I4" s="293" t="s">
        <v>2</v>
      </c>
      <c r="J4" s="293"/>
      <c r="K4" s="293"/>
      <c r="L4" s="293"/>
      <c r="M4" s="293"/>
      <c r="N4" s="293"/>
      <c r="O4" s="293"/>
      <c r="P4" s="293"/>
      <c r="Q4" s="293"/>
      <c r="R4" s="293"/>
    </row>
    <row r="5" spans="2:18" x14ac:dyDescent="0.3">
      <c r="I5" s="59" t="s">
        <v>142</v>
      </c>
      <c r="J5" s="62" t="s">
        <v>143</v>
      </c>
      <c r="K5" s="62" t="s">
        <v>144</v>
      </c>
      <c r="L5" s="62" t="s">
        <v>145</v>
      </c>
      <c r="M5" s="59" t="s">
        <v>146</v>
      </c>
      <c r="N5" s="62" t="s">
        <v>147</v>
      </c>
      <c r="O5" s="62" t="s">
        <v>148</v>
      </c>
      <c r="P5" s="51" t="s">
        <v>149</v>
      </c>
      <c r="Q5" s="51" t="s">
        <v>150</v>
      </c>
      <c r="R5" s="51" t="s">
        <v>151</v>
      </c>
    </row>
    <row r="6" spans="2:18" x14ac:dyDescent="0.3">
      <c r="B6" s="280" t="s">
        <v>195</v>
      </c>
      <c r="C6" s="280"/>
      <c r="D6" s="280"/>
      <c r="E6" s="280"/>
      <c r="F6" s="280"/>
      <c r="G6" s="280"/>
      <c r="H6" s="18"/>
      <c r="I6" s="9"/>
      <c r="J6" s="55"/>
      <c r="K6" s="55"/>
      <c r="L6" s="55"/>
      <c r="M6" s="9"/>
      <c r="N6" s="55"/>
      <c r="O6" s="55"/>
    </row>
    <row r="7" spans="2:18" x14ac:dyDescent="0.3">
      <c r="B7" s="268" t="s">
        <v>196</v>
      </c>
      <c r="C7" s="268"/>
      <c r="D7" s="268"/>
      <c r="E7" s="268"/>
      <c r="F7" s="268"/>
      <c r="G7" s="268"/>
      <c r="H7" s="56"/>
      <c r="I7" s="9"/>
      <c r="J7" s="13">
        <f>'Cash Flow 10 Yr'!G31</f>
        <v>756235.23560000001</v>
      </c>
      <c r="K7" s="13">
        <f>'Cash Flow 10 Yr'!H31</f>
        <v>750338.82622399996</v>
      </c>
      <c r="L7" s="55"/>
      <c r="M7" s="24">
        <f>'Cash Flow 10 Yr'!J31</f>
        <v>759770.92409187823</v>
      </c>
      <c r="N7" s="55"/>
      <c r="O7" s="64">
        <f>'Cash Flow 10 Yr'!L31</f>
        <v>757163.83127377555</v>
      </c>
    </row>
    <row r="8" spans="2:18" x14ac:dyDescent="0.3">
      <c r="B8" s="268" t="s">
        <v>71</v>
      </c>
      <c r="C8" s="268"/>
      <c r="D8" s="268"/>
      <c r="E8" s="268"/>
      <c r="F8" s="268"/>
      <c r="G8" s="268"/>
      <c r="H8" s="56"/>
      <c r="I8" s="9"/>
      <c r="J8" s="66">
        <f>'Dashboard Control'!$H$15</f>
        <v>6.7500000000000004E-2</v>
      </c>
      <c r="K8" s="66">
        <f>'Dashboard Control'!$H$15</f>
        <v>6.7500000000000004E-2</v>
      </c>
      <c r="L8" s="66"/>
      <c r="M8" s="61">
        <f>'Dashboard Control'!H15</f>
        <v>6.7500000000000004E-2</v>
      </c>
      <c r="N8" s="66"/>
      <c r="O8" s="66">
        <f>'Dashboard Control'!H15</f>
        <v>6.7500000000000004E-2</v>
      </c>
    </row>
    <row r="9" spans="2:18" x14ac:dyDescent="0.3">
      <c r="B9" s="268" t="s">
        <v>197</v>
      </c>
      <c r="C9" s="268"/>
      <c r="D9" s="268"/>
      <c r="E9" s="268"/>
      <c r="F9" s="268"/>
      <c r="G9" s="268"/>
      <c r="H9" s="56"/>
      <c r="I9" s="9"/>
      <c r="J9" s="13">
        <f>J7/J8</f>
        <v>11203484.971851852</v>
      </c>
      <c r="K9" s="13">
        <f>K7/K8</f>
        <v>11116130.758874074</v>
      </c>
      <c r="L9" s="55"/>
      <c r="M9" s="24">
        <f>M7/M8</f>
        <v>11255865.542101899</v>
      </c>
      <c r="N9" s="55"/>
      <c r="O9" s="64">
        <f>O7/O8</f>
        <v>11217241.944796674</v>
      </c>
    </row>
    <row r="10" spans="2:18" x14ac:dyDescent="0.3">
      <c r="B10" s="265" t="s">
        <v>198</v>
      </c>
      <c r="C10" s="265"/>
      <c r="D10" s="265"/>
      <c r="E10" s="265"/>
      <c r="F10" s="265"/>
      <c r="G10" s="265"/>
      <c r="H10" s="56"/>
      <c r="I10" s="11"/>
      <c r="J10" s="63">
        <f>-J9*'Dashboard Control'!$H$16</f>
        <v>-560174.24859259266</v>
      </c>
      <c r="K10" s="63">
        <f>-K9*'Dashboard Control'!$H$16</f>
        <v>-555806.5379437037</v>
      </c>
      <c r="L10" s="67"/>
      <c r="M10" s="25">
        <f>-M9*'Dashboard Control'!H16</f>
        <v>-562793.27710509498</v>
      </c>
      <c r="N10" s="67"/>
      <c r="O10" s="63">
        <f>-O9*'Dashboard Control'!H16</f>
        <v>-560862.09723983367</v>
      </c>
      <c r="P10" s="1"/>
      <c r="Q10" s="1"/>
      <c r="R10" s="1"/>
    </row>
    <row r="11" spans="2:18" x14ac:dyDescent="0.3">
      <c r="B11" s="268" t="s">
        <v>199</v>
      </c>
      <c r="C11" s="268"/>
      <c r="D11" s="268"/>
      <c r="E11" s="268"/>
      <c r="F11" s="268"/>
      <c r="G11" s="268"/>
      <c r="H11" s="56"/>
      <c r="I11" s="9"/>
      <c r="J11" s="64">
        <f>SUM(J9:J10)</f>
        <v>10643310.723259259</v>
      </c>
      <c r="K11" s="64">
        <f>SUM(K9:K10)</f>
        <v>10560324.22093037</v>
      </c>
      <c r="L11" s="55"/>
      <c r="M11" s="24">
        <f>SUM(M9:M10)</f>
        <v>10693072.264996804</v>
      </c>
      <c r="N11" s="55"/>
      <c r="O11" s="64">
        <f>SUM(O9:O10)</f>
        <v>10656379.847556841</v>
      </c>
    </row>
    <row r="12" spans="2:18" x14ac:dyDescent="0.3">
      <c r="B12" s="282"/>
      <c r="C12" s="282"/>
      <c r="D12" s="282"/>
      <c r="E12" s="282"/>
      <c r="F12" s="282"/>
      <c r="G12" s="282"/>
      <c r="H12" s="56"/>
      <c r="I12" s="9"/>
      <c r="J12" s="55"/>
      <c r="K12" s="55"/>
      <c r="L12" s="55"/>
      <c r="M12" s="9"/>
      <c r="N12" s="55"/>
      <c r="O12" s="55"/>
    </row>
    <row r="13" spans="2:18" x14ac:dyDescent="0.3">
      <c r="B13" s="280" t="s">
        <v>200</v>
      </c>
      <c r="C13" s="280"/>
      <c r="D13" s="280"/>
      <c r="E13" s="280"/>
      <c r="F13" s="280"/>
      <c r="G13" s="280"/>
      <c r="H13" s="18"/>
      <c r="I13" s="9"/>
      <c r="J13" s="55"/>
      <c r="K13" s="55"/>
      <c r="L13" s="55"/>
      <c r="M13" s="9"/>
      <c r="N13" s="55"/>
      <c r="O13" s="55"/>
    </row>
    <row r="14" spans="2:18" x14ac:dyDescent="0.3">
      <c r="B14" s="268" t="s">
        <v>263</v>
      </c>
      <c r="C14" s="268"/>
      <c r="D14" s="268"/>
      <c r="E14" s="268"/>
      <c r="F14" s="268"/>
      <c r="G14" s="268"/>
      <c r="H14" s="56"/>
      <c r="I14" s="9"/>
      <c r="J14" s="64">
        <f>J11</f>
        <v>10643310.723259259</v>
      </c>
      <c r="K14" s="64">
        <f>K11</f>
        <v>10560324.22093037</v>
      </c>
      <c r="L14" s="55"/>
      <c r="M14" s="24">
        <f>M11</f>
        <v>10693072.264996804</v>
      </c>
      <c r="N14" s="55"/>
      <c r="O14" s="64">
        <f>O11</f>
        <v>10656379.847556841</v>
      </c>
    </row>
    <row r="15" spans="2:18" x14ac:dyDescent="0.3">
      <c r="B15" s="268" t="s">
        <v>202</v>
      </c>
      <c r="C15" s="268"/>
      <c r="D15" s="268"/>
      <c r="E15" s="268"/>
      <c r="F15" s="268"/>
      <c r="G15" s="268"/>
      <c r="H15" s="56"/>
      <c r="I15" s="9"/>
      <c r="J15" s="64">
        <f>'Dashboard Control'!$N$36</f>
        <v>154320</v>
      </c>
      <c r="K15" s="64">
        <f>'Dashboard Control'!$N$36</f>
        <v>154320</v>
      </c>
      <c r="L15" s="55"/>
      <c r="M15" s="24">
        <f>'Dashboard Control'!N36</f>
        <v>154320</v>
      </c>
      <c r="N15" s="55"/>
      <c r="O15" s="64">
        <f>'Dashboard Control'!N36</f>
        <v>154320</v>
      </c>
    </row>
    <row r="16" spans="2:18" x14ac:dyDescent="0.3">
      <c r="B16" s="268" t="s">
        <v>203</v>
      </c>
      <c r="C16" s="268"/>
      <c r="D16" s="268"/>
      <c r="E16" s="268"/>
      <c r="F16" s="268"/>
      <c r="G16" s="268"/>
      <c r="H16" s="56"/>
      <c r="I16" s="9"/>
      <c r="J16" s="65">
        <f>-Amorization!M34</f>
        <v>-5690406.9781423965</v>
      </c>
      <c r="K16" s="65">
        <f>-Amorization!M46</f>
        <v>-5484179.9718045192</v>
      </c>
      <c r="L16" s="55"/>
      <c r="M16" s="60">
        <f>-Amorization!M70</f>
        <v>-5041604.3032767288</v>
      </c>
      <c r="N16" s="55"/>
      <c r="O16" s="65">
        <f>-Amorization!M94</f>
        <v>-4555594.5814189492</v>
      </c>
    </row>
    <row r="17" spans="2:15" x14ac:dyDescent="0.3">
      <c r="B17" s="268" t="s">
        <v>204</v>
      </c>
      <c r="C17" s="268"/>
      <c r="D17" s="268"/>
      <c r="E17" s="268"/>
      <c r="F17" s="268"/>
      <c r="G17" s="268"/>
      <c r="H17" s="56"/>
      <c r="I17" s="9"/>
      <c r="J17" s="64">
        <f>SUM(J14:J16)</f>
        <v>5107223.7451168625</v>
      </c>
      <c r="K17" s="64">
        <f>SUM(K14:K16)</f>
        <v>5230464.2491258504</v>
      </c>
      <c r="L17" s="55"/>
      <c r="M17" s="24">
        <f>SUM(M14:M16)</f>
        <v>5805787.9617200755</v>
      </c>
      <c r="N17" s="55"/>
      <c r="O17" s="64">
        <f>SUM(O14:O16)</f>
        <v>6255105.2661378914</v>
      </c>
    </row>
    <row r="18" spans="2:15" x14ac:dyDescent="0.3">
      <c r="B18" s="261" t="s">
        <v>264</v>
      </c>
      <c r="C18" s="261"/>
      <c r="D18" s="261"/>
      <c r="E18" s="261"/>
      <c r="F18" s="261"/>
      <c r="G18" s="261"/>
      <c r="H18" s="56"/>
      <c r="I18" s="9"/>
      <c r="J18" s="64">
        <f>'Cash Flow 10 Yr'!G49</f>
        <v>146379.47203558666</v>
      </c>
      <c r="K18" s="64">
        <f>'Cash Flow 10 Yr'!H49</f>
        <v>208206.16147738</v>
      </c>
      <c r="L18" s="55"/>
      <c r="M18" s="24">
        <f>'Cash Flow 10 Yr'!J49</f>
        <v>335159.37247780501</v>
      </c>
      <c r="N18" s="55"/>
      <c r="O18" s="64">
        <f>'Cash Flow 10 Yr'!L49</f>
        <v>479360.72644272074</v>
      </c>
    </row>
    <row r="19" spans="2:15" x14ac:dyDescent="0.3">
      <c r="B19" s="268" t="s">
        <v>205</v>
      </c>
      <c r="C19" s="268"/>
      <c r="D19" s="268"/>
      <c r="E19" s="268"/>
      <c r="F19" s="268"/>
      <c r="G19" s="268"/>
      <c r="H19" s="56"/>
      <c r="I19" s="9"/>
      <c r="J19" s="64">
        <f>'Cash Flow 10 Yr'!E46</f>
        <v>2747507.5</v>
      </c>
      <c r="K19" s="64">
        <f>'Cash Flow 10 Yr'!H46</f>
        <v>2747507.5</v>
      </c>
      <c r="L19" s="55"/>
      <c r="M19" s="24">
        <f>'Cash Flow 10 Yr'!J46</f>
        <v>2747507.5</v>
      </c>
      <c r="N19" s="55"/>
      <c r="O19" s="64">
        <f>'Cash Flow 10 Yr'!L46</f>
        <v>2747507.5</v>
      </c>
    </row>
    <row r="20" spans="2:15" x14ac:dyDescent="0.3">
      <c r="B20" s="268" t="s">
        <v>206</v>
      </c>
      <c r="C20" s="268"/>
      <c r="D20" s="268"/>
      <c r="E20" s="268"/>
      <c r="F20" s="268"/>
      <c r="G20" s="268"/>
      <c r="H20" s="56"/>
      <c r="I20" s="9"/>
      <c r="J20" s="63">
        <f>(J17-J19)*-0.3</f>
        <v>-707914.87353505869</v>
      </c>
      <c r="K20" s="63">
        <f>(K17-K19)*-0.3</f>
        <v>-744887.02473775507</v>
      </c>
      <c r="L20" s="67"/>
      <c r="M20" s="25">
        <f>(M17-M19)*-0.3</f>
        <v>-917484.13851602259</v>
      </c>
      <c r="N20" s="67"/>
      <c r="O20" s="63">
        <f>(O17-O19)*-0.3</f>
        <v>-1052279.3298413674</v>
      </c>
    </row>
    <row r="21" spans="2:15" x14ac:dyDescent="0.3">
      <c r="B21" s="282" t="s">
        <v>207</v>
      </c>
      <c r="C21" s="282"/>
      <c r="D21" s="282"/>
      <c r="E21" s="282"/>
      <c r="F21" s="282"/>
      <c r="G21" s="282"/>
      <c r="H21" s="56"/>
      <c r="I21" s="9"/>
      <c r="J21" s="64">
        <f>J17+J18-J19+J20</f>
        <v>1798180.8436173906</v>
      </c>
      <c r="K21" s="64">
        <f t="shared" ref="K21:O21" si="0">K17+K18-K19+K20</f>
        <v>1946275.8858654757</v>
      </c>
      <c r="L21" s="64">
        <f t="shared" si="0"/>
        <v>0</v>
      </c>
      <c r="M21" s="64">
        <f t="shared" si="0"/>
        <v>2475955.6956818579</v>
      </c>
      <c r="N21" s="64">
        <f t="shared" si="0"/>
        <v>0</v>
      </c>
      <c r="O21" s="64">
        <f t="shared" si="0"/>
        <v>2934679.1627392448</v>
      </c>
    </row>
    <row r="22" spans="2:15" x14ac:dyDescent="0.3">
      <c r="B22" s="282" t="s">
        <v>208</v>
      </c>
      <c r="C22" s="282"/>
      <c r="D22" s="282"/>
      <c r="E22" s="282"/>
      <c r="F22" s="282"/>
      <c r="G22" s="282"/>
      <c r="H22" s="56"/>
      <c r="I22" s="9"/>
      <c r="J22" s="63">
        <f>SUM(I38:J38)</f>
        <v>439601.2</v>
      </c>
      <c r="K22" s="63">
        <f>SUM(I49:K49)</f>
        <v>659401.80000000005</v>
      </c>
      <c r="L22" s="67"/>
      <c r="M22" s="25">
        <f>SUM(I60:M60)</f>
        <v>1099003</v>
      </c>
      <c r="N22" s="67"/>
      <c r="O22" s="63">
        <f>SUM(I71:O71)</f>
        <v>1538604.2000000002</v>
      </c>
    </row>
    <row r="23" spans="2:15" x14ac:dyDescent="0.3">
      <c r="B23" s="282" t="s">
        <v>209</v>
      </c>
      <c r="C23" s="282"/>
      <c r="D23" s="282"/>
      <c r="E23" s="282"/>
      <c r="F23" s="282"/>
      <c r="G23" s="282"/>
      <c r="H23" s="56"/>
      <c r="I23" s="9"/>
      <c r="J23" s="64">
        <f>SUM(J21:J22)</f>
        <v>2237782.0436173906</v>
      </c>
      <c r="K23" s="64">
        <f>SUM(K21:K22)</f>
        <v>2605677.6858654758</v>
      </c>
      <c r="L23" s="55"/>
      <c r="M23" s="24">
        <f>SUM(M21:M22)</f>
        <v>3574958.6956818579</v>
      </c>
      <c r="N23" s="55"/>
      <c r="O23" s="64">
        <f>SUM(O21:O22)</f>
        <v>4473283.3627392445</v>
      </c>
    </row>
    <row r="24" spans="2:15" x14ac:dyDescent="0.3">
      <c r="B24" s="282"/>
      <c r="C24" s="282"/>
      <c r="D24" s="282"/>
      <c r="E24" s="282"/>
      <c r="F24" s="282"/>
      <c r="G24" s="282"/>
      <c r="H24" s="56"/>
      <c r="I24" s="9"/>
      <c r="J24" s="55"/>
      <c r="K24" s="55"/>
      <c r="L24" s="55"/>
      <c r="M24" s="9"/>
      <c r="N24" s="55"/>
      <c r="O24" s="55"/>
    </row>
    <row r="25" spans="2:15" x14ac:dyDescent="0.3">
      <c r="B25" s="280" t="s">
        <v>210</v>
      </c>
      <c r="C25" s="280"/>
      <c r="D25" s="280"/>
      <c r="E25" s="280"/>
      <c r="F25" s="280"/>
      <c r="G25" s="280"/>
      <c r="H25" s="18"/>
      <c r="I25" s="9"/>
      <c r="J25" s="55"/>
      <c r="K25" s="55"/>
      <c r="L25" s="55"/>
      <c r="M25" s="9"/>
      <c r="N25" s="55"/>
      <c r="O25" s="55"/>
    </row>
    <row r="26" spans="2:15" x14ac:dyDescent="0.3">
      <c r="B26" s="268" t="s">
        <v>211</v>
      </c>
      <c r="C26" s="268"/>
      <c r="D26" s="268"/>
      <c r="E26" s="268"/>
      <c r="F26" s="268"/>
      <c r="G26" s="268"/>
      <c r="H26" s="56"/>
      <c r="I26" s="9"/>
      <c r="J26" s="64">
        <f>J23</f>
        <v>2237782.0436173906</v>
      </c>
      <c r="K26" s="64">
        <f>K23</f>
        <v>2605677.6858654758</v>
      </c>
      <c r="L26" s="55"/>
      <c r="M26" s="24">
        <f>M23</f>
        <v>3574958.6956818579</v>
      </c>
      <c r="N26" s="55"/>
      <c r="O26" s="64">
        <f>O23</f>
        <v>4473283.3627392445</v>
      </c>
    </row>
    <row r="27" spans="2:15" x14ac:dyDescent="0.3">
      <c r="B27" s="292" t="s">
        <v>212</v>
      </c>
      <c r="C27" s="292"/>
      <c r="D27" s="292"/>
      <c r="E27" s="292"/>
      <c r="F27" s="292"/>
      <c r="G27" s="292"/>
      <c r="H27" s="68"/>
      <c r="I27" s="69"/>
      <c r="J27" s="71">
        <f>J26/'Dashboard Control'!N39</f>
        <v>0.81447713741177796</v>
      </c>
      <c r="K27" s="71">
        <f>K26/'Dashboard Control'!N39</f>
        <v>0.94837873449498344</v>
      </c>
      <c r="L27" s="72"/>
      <c r="M27" s="70">
        <f>M26/'Dashboard Control'!N39</f>
        <v>1.3011643082618911</v>
      </c>
      <c r="N27" s="72"/>
      <c r="O27" s="71">
        <f>O26/'Dashboard Control'!N39</f>
        <v>1.6281241680829786</v>
      </c>
    </row>
    <row r="28" spans="2:15" x14ac:dyDescent="0.3">
      <c r="B28" s="268" t="s">
        <v>213</v>
      </c>
      <c r="C28" s="268"/>
      <c r="D28" s="268"/>
      <c r="E28" s="268"/>
      <c r="F28" s="268"/>
      <c r="G28" s="268"/>
      <c r="H28" s="208"/>
      <c r="I28" s="9"/>
      <c r="J28" s="66">
        <f>'IRR Calculator'!D35</f>
        <v>0.33301394581794741</v>
      </c>
      <c r="K28" s="66">
        <f>'IRR Calculator'!E35</f>
        <v>0.24540941119194026</v>
      </c>
      <c r="L28" s="55"/>
      <c r="M28" s="61">
        <f>'IRR Calculator'!F35</f>
        <v>0.18803976178169254</v>
      </c>
      <c r="N28" s="55"/>
      <c r="O28" s="66">
        <f>'IRR Calculator'!G35</f>
        <v>0.16054274439811711</v>
      </c>
    </row>
    <row r="30" spans="2:15" hidden="1" x14ac:dyDescent="0.3"/>
    <row r="31" spans="2:15" hidden="1" x14ac:dyDescent="0.3">
      <c r="B31" s="280" t="s">
        <v>200</v>
      </c>
      <c r="C31" s="280"/>
      <c r="D31" s="280"/>
      <c r="E31" s="280"/>
      <c r="F31" s="280"/>
      <c r="G31" s="280"/>
    </row>
    <row r="32" spans="2:15" hidden="1" x14ac:dyDescent="0.3">
      <c r="B32" t="s">
        <v>214</v>
      </c>
      <c r="I32" s="22">
        <f>-'Dashboard Control'!N39</f>
        <v>-2747507.5</v>
      </c>
      <c r="J32" s="22">
        <f>'Dashboard Control'!N18</f>
        <v>2747507.5</v>
      </c>
    </row>
    <row r="33" spans="2:11" hidden="1" x14ac:dyDescent="0.3">
      <c r="B33" t="s">
        <v>201</v>
      </c>
      <c r="J33" s="22">
        <f>J11-J32</f>
        <v>7895803.223259259</v>
      </c>
    </row>
    <row r="34" spans="2:11" hidden="1" x14ac:dyDescent="0.3">
      <c r="B34" t="s">
        <v>203</v>
      </c>
      <c r="J34" s="37">
        <f>-Amorization!M34</f>
        <v>-5690406.9781423965</v>
      </c>
    </row>
    <row r="35" spans="2:11" hidden="1" x14ac:dyDescent="0.3">
      <c r="B35" t="s">
        <v>202</v>
      </c>
      <c r="J35" s="22">
        <f>'Dashboard Control'!N36</f>
        <v>154320</v>
      </c>
    </row>
    <row r="36" spans="2:11" hidden="1" x14ac:dyDescent="0.3">
      <c r="B36" t="s">
        <v>206</v>
      </c>
      <c r="J36" s="22">
        <f>-0.3*SUM(J33:J35)</f>
        <v>-707914.87353505869</v>
      </c>
    </row>
    <row r="37" spans="2:11" hidden="1" x14ac:dyDescent="0.3">
      <c r="B37" t="s">
        <v>16</v>
      </c>
      <c r="J37" s="22"/>
    </row>
    <row r="38" spans="2:11" hidden="1" x14ac:dyDescent="0.3">
      <c r="B38" t="s">
        <v>215</v>
      </c>
      <c r="I38" s="22">
        <f>'Cash Flow 10 Yr'!E44</f>
        <v>219800.6</v>
      </c>
      <c r="J38" s="22">
        <f>'Cash Flow 10 Yr'!G44</f>
        <v>219800.6</v>
      </c>
    </row>
    <row r="39" spans="2:11" ht="15" hidden="1" thickBot="1" x14ac:dyDescent="0.35">
      <c r="B39" t="s">
        <v>216</v>
      </c>
      <c r="I39" s="46">
        <f>SUM(I32:I38)</f>
        <v>-2527706.9</v>
      </c>
      <c r="J39" s="46">
        <f>SUM(J32:J38)</f>
        <v>4619109.4715818036</v>
      </c>
      <c r="K39" s="47">
        <f>SUM(J32:J37)</f>
        <v>4399308.871581804</v>
      </c>
    </row>
    <row r="40" spans="2:11" hidden="1" x14ac:dyDescent="0.3">
      <c r="B40" t="s">
        <v>217</v>
      </c>
      <c r="I40" s="22">
        <f>I39</f>
        <v>-2527706.9</v>
      </c>
      <c r="J40" s="22">
        <f>I40+J39</f>
        <v>2091402.5715818037</v>
      </c>
    </row>
    <row r="41" spans="2:11" hidden="1" x14ac:dyDescent="0.3"/>
    <row r="42" spans="2:11" hidden="1" x14ac:dyDescent="0.3">
      <c r="B42" s="280" t="s">
        <v>200</v>
      </c>
      <c r="C42" s="280"/>
      <c r="D42" s="280"/>
      <c r="E42" s="280"/>
      <c r="F42" s="280"/>
      <c r="G42" s="280"/>
    </row>
    <row r="43" spans="2:11" hidden="1" x14ac:dyDescent="0.3">
      <c r="B43" t="s">
        <v>214</v>
      </c>
      <c r="I43" s="22">
        <f>-'Dashboard Control'!N39</f>
        <v>-2747507.5</v>
      </c>
      <c r="K43" s="22">
        <f>'Dashboard Control'!N39</f>
        <v>2747507.5</v>
      </c>
    </row>
    <row r="44" spans="2:11" hidden="1" x14ac:dyDescent="0.3">
      <c r="B44" t="s">
        <v>201</v>
      </c>
      <c r="K44" s="22">
        <f>K11-K43</f>
        <v>7812816.7209303696</v>
      </c>
    </row>
    <row r="45" spans="2:11" hidden="1" x14ac:dyDescent="0.3">
      <c r="B45" t="s">
        <v>203</v>
      </c>
      <c r="K45" s="37">
        <f>-Amorization!M46</f>
        <v>-5484179.9718045192</v>
      </c>
    </row>
    <row r="46" spans="2:11" hidden="1" x14ac:dyDescent="0.3">
      <c r="B46" t="s">
        <v>202</v>
      </c>
      <c r="K46" s="22">
        <f>'Dashboard Control'!N36</f>
        <v>154320</v>
      </c>
    </row>
    <row r="47" spans="2:11" hidden="1" x14ac:dyDescent="0.3">
      <c r="B47" t="s">
        <v>206</v>
      </c>
      <c r="K47" s="22">
        <f>-SUM(K44:K46)*0.3</f>
        <v>-744887.02473775507</v>
      </c>
    </row>
    <row r="48" spans="2:11" hidden="1" x14ac:dyDescent="0.3">
      <c r="B48" t="s">
        <v>16</v>
      </c>
    </row>
    <row r="49" spans="2:14" hidden="1" x14ac:dyDescent="0.3">
      <c r="B49" t="s">
        <v>215</v>
      </c>
      <c r="H49" s="50"/>
      <c r="I49" s="22">
        <f>'Cash Flow 10 Yr'!E44</f>
        <v>219800.6</v>
      </c>
      <c r="J49" s="22">
        <f>'Cash Flow 10 Yr'!G44</f>
        <v>219800.6</v>
      </c>
      <c r="K49" s="22">
        <f>'Cash Flow 10 Yr'!H44</f>
        <v>219800.6</v>
      </c>
    </row>
    <row r="50" spans="2:14" ht="15" hidden="1" thickBot="1" x14ac:dyDescent="0.35">
      <c r="B50" t="s">
        <v>216</v>
      </c>
      <c r="H50" s="50"/>
      <c r="I50" s="46">
        <f>SUM(I43:I49)</f>
        <v>-2527706.9</v>
      </c>
      <c r="J50" s="46">
        <f>SUM(J43:J49)</f>
        <v>219800.6</v>
      </c>
      <c r="K50" s="46">
        <f>SUM(K43:K49)</f>
        <v>4705377.8243880952</v>
      </c>
      <c r="L50" s="47">
        <f>SUM(K43:K48)</f>
        <v>4485577.2243880956</v>
      </c>
    </row>
    <row r="51" spans="2:14" hidden="1" x14ac:dyDescent="0.3">
      <c r="B51" t="s">
        <v>217</v>
      </c>
      <c r="I51" s="22">
        <f>I50</f>
        <v>-2527706.9</v>
      </c>
      <c r="J51" s="22">
        <f>I51+J50</f>
        <v>-2307906.2999999998</v>
      </c>
      <c r="K51" s="22">
        <f>J51+K50</f>
        <v>2397471.5243880954</v>
      </c>
    </row>
    <row r="52" spans="2:14" hidden="1" x14ac:dyDescent="0.3"/>
    <row r="53" spans="2:14" hidden="1" x14ac:dyDescent="0.3">
      <c r="B53" s="280" t="s">
        <v>200</v>
      </c>
      <c r="C53" s="280"/>
      <c r="D53" s="280"/>
      <c r="E53" s="280"/>
      <c r="F53" s="280"/>
      <c r="G53" s="280"/>
    </row>
    <row r="54" spans="2:14" hidden="1" x14ac:dyDescent="0.3">
      <c r="B54" t="s">
        <v>214</v>
      </c>
      <c r="I54" s="22">
        <f>I43</f>
        <v>-2747507.5</v>
      </c>
      <c r="M54" s="22">
        <f>'Dashboard Control'!N39</f>
        <v>2747507.5</v>
      </c>
    </row>
    <row r="55" spans="2:14" hidden="1" x14ac:dyDescent="0.3">
      <c r="B55" t="s">
        <v>201</v>
      </c>
      <c r="M55" s="22">
        <f>M11-M54</f>
        <v>7945564.7649968043</v>
      </c>
    </row>
    <row r="56" spans="2:14" hidden="1" x14ac:dyDescent="0.3">
      <c r="B56" t="s">
        <v>203</v>
      </c>
      <c r="M56" s="37">
        <f>-Amorization!M70</f>
        <v>-5041604.3032767288</v>
      </c>
    </row>
    <row r="57" spans="2:14" hidden="1" x14ac:dyDescent="0.3">
      <c r="B57" t="s">
        <v>202</v>
      </c>
      <c r="M57" s="22">
        <f>'Dashboard Control'!N36</f>
        <v>154320</v>
      </c>
    </row>
    <row r="58" spans="2:14" hidden="1" x14ac:dyDescent="0.3">
      <c r="B58" t="s">
        <v>206</v>
      </c>
      <c r="M58" s="22">
        <f>-SUM(M55:M57)*0.3</f>
        <v>-917484.13851602259</v>
      </c>
    </row>
    <row r="59" spans="2:14" hidden="1" x14ac:dyDescent="0.3">
      <c r="B59" t="s">
        <v>16</v>
      </c>
    </row>
    <row r="60" spans="2:14" hidden="1" x14ac:dyDescent="0.3">
      <c r="B60" t="s">
        <v>215</v>
      </c>
      <c r="I60" s="22">
        <f>'Cash Flow 10 Yr'!E44</f>
        <v>219800.6</v>
      </c>
      <c r="J60" s="22">
        <f>'Cash Flow 10 Yr'!E44</f>
        <v>219800.6</v>
      </c>
      <c r="K60" s="22">
        <f>'Cash Flow 10 Yr'!G44</f>
        <v>219800.6</v>
      </c>
      <c r="L60" s="22">
        <f>'Cash Flow 10 Yr'!H44</f>
        <v>219800.6</v>
      </c>
      <c r="M60" s="22">
        <f>'Cash Flow 10 Yr'!I44</f>
        <v>219800.6</v>
      </c>
    </row>
    <row r="61" spans="2:14" ht="15" hidden="1" thickBot="1" x14ac:dyDescent="0.35">
      <c r="B61" t="s">
        <v>216</v>
      </c>
      <c r="I61" s="46">
        <f>SUM(I54:I60)</f>
        <v>-2527706.9</v>
      </c>
      <c r="J61" s="46">
        <f t="shared" ref="J61:M61" si="1">SUM(J54:J60)</f>
        <v>219800.6</v>
      </c>
      <c r="K61" s="46">
        <f t="shared" si="1"/>
        <v>219800.6</v>
      </c>
      <c r="L61" s="46">
        <f t="shared" si="1"/>
        <v>219800.6</v>
      </c>
      <c r="M61" s="46">
        <f t="shared" si="1"/>
        <v>5108104.4232040523</v>
      </c>
      <c r="N61" s="52">
        <f>SUM(M54:M59)</f>
        <v>4888303.8232040526</v>
      </c>
    </row>
    <row r="62" spans="2:14" hidden="1" x14ac:dyDescent="0.3">
      <c r="B62" t="s">
        <v>217</v>
      </c>
      <c r="I62" s="22">
        <f>I61</f>
        <v>-2527706.9</v>
      </c>
      <c r="J62" s="22">
        <f>I62+J61</f>
        <v>-2307906.2999999998</v>
      </c>
      <c r="K62" s="22">
        <f t="shared" ref="K62:M62" si="2">J62+K61</f>
        <v>-2088105.6999999997</v>
      </c>
      <c r="L62" s="22">
        <f t="shared" si="2"/>
        <v>-1868305.0999999996</v>
      </c>
      <c r="M62" s="22">
        <f t="shared" si="2"/>
        <v>3239799.3232040526</v>
      </c>
    </row>
    <row r="63" spans="2:14" hidden="1" x14ac:dyDescent="0.3"/>
    <row r="64" spans="2:14" hidden="1" x14ac:dyDescent="0.3">
      <c r="B64" s="280" t="s">
        <v>200</v>
      </c>
      <c r="C64" s="280"/>
      <c r="D64" s="280"/>
      <c r="E64" s="280"/>
      <c r="F64" s="280"/>
      <c r="G64" s="280"/>
    </row>
    <row r="65" spans="2:16" hidden="1" x14ac:dyDescent="0.3">
      <c r="B65" t="s">
        <v>214</v>
      </c>
      <c r="I65" s="22">
        <f>I54</f>
        <v>-2747507.5</v>
      </c>
      <c r="O65" s="22">
        <f>'Dashboard Control'!N39</f>
        <v>2747507.5</v>
      </c>
    </row>
    <row r="66" spans="2:16" hidden="1" x14ac:dyDescent="0.3">
      <c r="B66" t="s">
        <v>201</v>
      </c>
      <c r="O66" s="22">
        <f>O11-O65</f>
        <v>7908872.3475568406</v>
      </c>
    </row>
    <row r="67" spans="2:16" hidden="1" x14ac:dyDescent="0.3">
      <c r="B67" t="s">
        <v>203</v>
      </c>
      <c r="O67" s="37">
        <f>-Amorization!M94</f>
        <v>-4555594.5814189492</v>
      </c>
    </row>
    <row r="68" spans="2:16" hidden="1" x14ac:dyDescent="0.3">
      <c r="B68" t="s">
        <v>202</v>
      </c>
      <c r="O68" s="22">
        <f>'Dashboard Control'!N36</f>
        <v>154320</v>
      </c>
    </row>
    <row r="69" spans="2:16" hidden="1" x14ac:dyDescent="0.3">
      <c r="B69" t="s">
        <v>206</v>
      </c>
      <c r="O69" s="22">
        <f>-SUM(O66:O68)*0.3</f>
        <v>-1052279.3298413674</v>
      </c>
    </row>
    <row r="70" spans="2:16" hidden="1" x14ac:dyDescent="0.3">
      <c r="B70" t="s">
        <v>16</v>
      </c>
    </row>
    <row r="71" spans="2:16" hidden="1" x14ac:dyDescent="0.3">
      <c r="B71" t="s">
        <v>215</v>
      </c>
      <c r="I71" s="22">
        <f>'Cash Flow 10 Yr'!E44</f>
        <v>219800.6</v>
      </c>
      <c r="J71" s="22">
        <f>'Cash Flow 10 Yr'!G44</f>
        <v>219800.6</v>
      </c>
      <c r="K71" s="22">
        <f>'Cash Flow 10 Yr'!H44</f>
        <v>219800.6</v>
      </c>
      <c r="L71" s="22">
        <f>'Cash Flow 10 Yr'!I44</f>
        <v>219800.6</v>
      </c>
      <c r="M71" s="22">
        <f>'Cash Flow 10 Yr'!J44</f>
        <v>219800.6</v>
      </c>
      <c r="N71" s="22">
        <f>'Cash Flow 10 Yr'!K44</f>
        <v>219800.6</v>
      </c>
      <c r="O71" s="22">
        <f>'Cash Flow 10 Yr'!L44</f>
        <v>219800.6</v>
      </c>
    </row>
    <row r="72" spans="2:16" ht="15" hidden="1" thickBot="1" x14ac:dyDescent="0.35">
      <c r="B72" t="s">
        <v>216</v>
      </c>
      <c r="I72" s="46">
        <f>SUM(I65:I71)</f>
        <v>-2527706.9</v>
      </c>
      <c r="J72" s="46">
        <f t="shared" ref="J72:O72" si="3">SUM(J65:J71)</f>
        <v>219800.6</v>
      </c>
      <c r="K72" s="46">
        <f t="shared" si="3"/>
        <v>219800.6</v>
      </c>
      <c r="L72" s="46">
        <f t="shared" si="3"/>
        <v>219800.6</v>
      </c>
      <c r="M72" s="46">
        <f t="shared" si="3"/>
        <v>219800.6</v>
      </c>
      <c r="N72" s="46">
        <f t="shared" si="3"/>
        <v>219800.6</v>
      </c>
      <c r="O72" s="46">
        <f t="shared" si="3"/>
        <v>5422626.5362965241</v>
      </c>
      <c r="P72" s="47">
        <f>SUM(O65:O70)</f>
        <v>5202825.9362965245</v>
      </c>
    </row>
    <row r="73" spans="2:16" hidden="1" x14ac:dyDescent="0.3">
      <c r="B73" t="s">
        <v>217</v>
      </c>
      <c r="I73" s="22">
        <f>I72</f>
        <v>-2527706.9</v>
      </c>
      <c r="J73" s="22">
        <f>I73+J72</f>
        <v>-2307906.2999999998</v>
      </c>
      <c r="K73" s="22">
        <f t="shared" ref="K73:O73" si="4">J73+K72</f>
        <v>-2088105.6999999997</v>
      </c>
      <c r="L73" s="22">
        <f t="shared" si="4"/>
        <v>-1868305.0999999996</v>
      </c>
      <c r="M73" s="22">
        <f t="shared" si="4"/>
        <v>-1648504.4999999995</v>
      </c>
      <c r="N73" s="22">
        <f t="shared" si="4"/>
        <v>-1428703.8999999994</v>
      </c>
      <c r="O73" s="22">
        <f t="shared" si="4"/>
        <v>3993922.6362965247</v>
      </c>
    </row>
    <row r="74" spans="2:16" hidden="1" x14ac:dyDescent="0.3"/>
  </sheetData>
  <mergeCells count="28">
    <mergeCell ref="E1:H1"/>
    <mergeCell ref="I4:R4"/>
    <mergeCell ref="B31:G31"/>
    <mergeCell ref="B42:G42"/>
    <mergeCell ref="B53:G53"/>
    <mergeCell ref="B6:G6"/>
    <mergeCell ref="B11:G11"/>
    <mergeCell ref="B10:G10"/>
    <mergeCell ref="B9:G9"/>
    <mergeCell ref="B8:G8"/>
    <mergeCell ref="B7:G7"/>
    <mergeCell ref="B17:G17"/>
    <mergeCell ref="B64:G64"/>
    <mergeCell ref="B27:G27"/>
    <mergeCell ref="B28:G28"/>
    <mergeCell ref="B12:G12"/>
    <mergeCell ref="B24:G24"/>
    <mergeCell ref="B13:G13"/>
    <mergeCell ref="B26:G26"/>
    <mergeCell ref="B15:G15"/>
    <mergeCell ref="B25:G25"/>
    <mergeCell ref="B14:G14"/>
    <mergeCell ref="B22:G22"/>
    <mergeCell ref="B16:G16"/>
    <mergeCell ref="B23:G23"/>
    <mergeCell ref="B21:G21"/>
    <mergeCell ref="B20:G20"/>
    <mergeCell ref="B19:G19"/>
  </mergeCells>
  <phoneticPr fontId="8" type="noConversion"/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252C4-0980-4122-83CB-3042B25E77F0}">
  <dimension ref="B1:G35"/>
  <sheetViews>
    <sheetView view="pageLayout" topLeftCell="A2" zoomScaleNormal="100" workbookViewId="0">
      <selection activeCell="D28" sqref="D28"/>
    </sheetView>
  </sheetViews>
  <sheetFormatPr defaultRowHeight="14.4" x14ac:dyDescent="0.3"/>
  <cols>
    <col min="2" max="2" width="10.6640625" style="7" bestFit="1" customWidth="1"/>
    <col min="4" max="7" width="15" bestFit="1" customWidth="1"/>
  </cols>
  <sheetData>
    <row r="1" spans="2:7" ht="18" x14ac:dyDescent="0.35">
      <c r="D1" s="275" t="s">
        <v>0</v>
      </c>
      <c r="E1" s="275"/>
      <c r="F1" s="275"/>
    </row>
    <row r="2" spans="2:7" ht="21" x14ac:dyDescent="0.4">
      <c r="B2" s="137" t="s">
        <v>218</v>
      </c>
    </row>
    <row r="3" spans="2:7" ht="18" x14ac:dyDescent="0.35">
      <c r="B3" s="142" t="str">
        <f>'Dashboard Control'!B3</f>
        <v>Miller Building</v>
      </c>
    </row>
    <row r="5" spans="2:7" x14ac:dyDescent="0.3">
      <c r="D5" s="277"/>
      <c r="E5" s="277"/>
      <c r="F5" s="277"/>
      <c r="G5" s="277"/>
    </row>
    <row r="6" spans="2:7" x14ac:dyDescent="0.3">
      <c r="B6" s="32" t="s">
        <v>219</v>
      </c>
      <c r="C6" s="1"/>
      <c r="D6" s="16" t="s">
        <v>143</v>
      </c>
      <c r="E6" s="16" t="s">
        <v>144</v>
      </c>
      <c r="F6" s="17" t="s">
        <v>146</v>
      </c>
      <c r="G6" s="48" t="s">
        <v>148</v>
      </c>
    </row>
    <row r="7" spans="2:7" x14ac:dyDescent="0.3">
      <c r="B7" s="152">
        <v>44562</v>
      </c>
      <c r="D7" s="22">
        <f>-'Dashboard Control'!$N$18</f>
        <v>-2747507.5</v>
      </c>
      <c r="E7" s="22">
        <f>-'Dashboard Control'!$N$18</f>
        <v>-2747507.5</v>
      </c>
      <c r="F7" s="22">
        <f>E7</f>
        <v>-2747507.5</v>
      </c>
      <c r="G7" s="22">
        <f>F7</f>
        <v>-2747507.5</v>
      </c>
    </row>
    <row r="8" spans="2:7" x14ac:dyDescent="0.3">
      <c r="B8" s="152">
        <v>44757</v>
      </c>
      <c r="D8" s="22">
        <f>'Cash Flow 10 Yr'!E44/3</f>
        <v>73266.866666666669</v>
      </c>
      <c r="E8" s="22">
        <f>'Cash Flow 10 Yr'!G44/3</f>
        <v>73266.866666666669</v>
      </c>
      <c r="F8" s="22">
        <f>'Cash Flow 10 Yr'!H44/3</f>
        <v>73266.866666666669</v>
      </c>
      <c r="G8" s="22">
        <f>'Cash Flow 10 Yr'!I44/3</f>
        <v>73266.866666666669</v>
      </c>
    </row>
    <row r="9" spans="2:7" x14ac:dyDescent="0.3">
      <c r="B9" s="153">
        <v>44849</v>
      </c>
      <c r="C9" s="3"/>
      <c r="D9" s="22">
        <f>'Cash Flow 10 Yr'!$E$44/3</f>
        <v>73266.866666666669</v>
      </c>
      <c r="E9" s="22">
        <f>'Cash Flow 10 Yr'!$E$44/3</f>
        <v>73266.866666666669</v>
      </c>
      <c r="F9" s="22">
        <f>'Cash Flow 10 Yr'!$E$44/3</f>
        <v>73266.866666666669</v>
      </c>
      <c r="G9" s="22">
        <f>'Cash Flow 10 Yr'!$E$44/3</f>
        <v>73266.866666666669</v>
      </c>
    </row>
    <row r="10" spans="2:7" x14ac:dyDescent="0.3">
      <c r="B10" s="152">
        <v>44941</v>
      </c>
      <c r="D10" s="22">
        <f>'Cash Flow 10 Yr'!$E$46*0.02</f>
        <v>54950.15</v>
      </c>
      <c r="E10" s="22">
        <f>'Cash Flow 10 Yr'!$E$46*0.02</f>
        <v>54950.15</v>
      </c>
      <c r="F10" s="22">
        <f>'Cash Flow 10 Yr'!$E$46*0.02</f>
        <v>54950.15</v>
      </c>
      <c r="G10" s="22">
        <f>'Cash Flow 10 Yr'!$E$46*0.02</f>
        <v>54950.15</v>
      </c>
    </row>
    <row r="11" spans="2:7" x14ac:dyDescent="0.3">
      <c r="B11" s="152">
        <v>45031</v>
      </c>
      <c r="D11" s="22">
        <f>'Cash Flow 10 Yr'!$E$46*0.02</f>
        <v>54950.15</v>
      </c>
      <c r="E11" s="22">
        <f>'Cash Flow 10 Yr'!$E$46*0.02</f>
        <v>54950.15</v>
      </c>
      <c r="F11" s="22">
        <f>'Cash Flow 10 Yr'!$E$46*0.02</f>
        <v>54950.15</v>
      </c>
      <c r="G11" s="22">
        <f>'Cash Flow 10 Yr'!$E$46*0.02</f>
        <v>54950.15</v>
      </c>
    </row>
    <row r="12" spans="2:7" x14ac:dyDescent="0.3">
      <c r="B12" s="152">
        <v>45122</v>
      </c>
      <c r="D12" s="22">
        <f>'Cash Flow 10 Yr'!$E$46*0.02</f>
        <v>54950.15</v>
      </c>
      <c r="E12" s="22">
        <f>'Cash Flow 10 Yr'!$E$46*0.02</f>
        <v>54950.15</v>
      </c>
      <c r="F12" s="22">
        <f>'Cash Flow 10 Yr'!$E$46*0.02</f>
        <v>54950.15</v>
      </c>
      <c r="G12" s="22">
        <f>'Cash Flow 10 Yr'!$E$46*0.02</f>
        <v>54950.15</v>
      </c>
    </row>
    <row r="13" spans="2:7" x14ac:dyDescent="0.3">
      <c r="B13" s="154">
        <v>45214</v>
      </c>
      <c r="C13" s="1"/>
      <c r="D13" s="22">
        <f>'Cash Flow 10 Yr'!$E$46*0.02</f>
        <v>54950.15</v>
      </c>
      <c r="E13" s="22">
        <f>'Cash Flow 10 Yr'!$E$46*0.02</f>
        <v>54950.15</v>
      </c>
      <c r="F13" s="22">
        <f>'Cash Flow 10 Yr'!$E$46*0.02</f>
        <v>54950.15</v>
      </c>
      <c r="G13" s="22">
        <f>'Cash Flow 10 Yr'!$E$46*0.02</f>
        <v>54950.15</v>
      </c>
    </row>
    <row r="14" spans="2:7" x14ac:dyDescent="0.3">
      <c r="B14" s="152">
        <v>45306</v>
      </c>
      <c r="D14" s="45">
        <f>'Cash Flow 10 Yr'!E46*0.02+'Exit Stops'!K39</f>
        <v>4454259.0215818044</v>
      </c>
      <c r="E14" s="22">
        <f>'Cash Flow 10 Yr'!$E$46*0.02</f>
        <v>54950.15</v>
      </c>
      <c r="F14" s="22">
        <f>'Cash Flow 10 Yr'!$E$46*0.02</f>
        <v>54950.15</v>
      </c>
      <c r="G14" s="22">
        <f>'Cash Flow 10 Yr'!$E$46*0.02</f>
        <v>54950.15</v>
      </c>
    </row>
    <row r="15" spans="2:7" x14ac:dyDescent="0.3">
      <c r="B15" s="152">
        <v>45397</v>
      </c>
      <c r="E15" s="22">
        <f>'Cash Flow 10 Yr'!$E$46*0.02</f>
        <v>54950.15</v>
      </c>
      <c r="F15" s="22">
        <f>'Cash Flow 10 Yr'!$E$46*0.02</f>
        <v>54950.15</v>
      </c>
      <c r="G15" s="22">
        <f>'Cash Flow 10 Yr'!$E$46*0.02</f>
        <v>54950.15</v>
      </c>
    </row>
    <row r="16" spans="2:7" x14ac:dyDescent="0.3">
      <c r="B16" s="152">
        <v>45488</v>
      </c>
      <c r="E16" s="22">
        <f>'Cash Flow 10 Yr'!$E$46*0.02</f>
        <v>54950.15</v>
      </c>
      <c r="F16" s="22">
        <f>'Cash Flow 10 Yr'!$E$46*0.02</f>
        <v>54950.15</v>
      </c>
      <c r="G16" s="22">
        <f>'Cash Flow 10 Yr'!$E$46*0.02</f>
        <v>54950.15</v>
      </c>
    </row>
    <row r="17" spans="2:7" x14ac:dyDescent="0.3">
      <c r="B17" s="154">
        <v>45580</v>
      </c>
      <c r="C17" s="1"/>
      <c r="D17" s="1"/>
      <c r="E17" s="22">
        <f>'Cash Flow 10 Yr'!$E$46*0.02</f>
        <v>54950.15</v>
      </c>
      <c r="F17" s="22">
        <f>'Cash Flow 10 Yr'!$E$46*0.02</f>
        <v>54950.15</v>
      </c>
      <c r="G17" s="22">
        <f>'Cash Flow 10 Yr'!$E$46*0.02</f>
        <v>54950.15</v>
      </c>
    </row>
    <row r="18" spans="2:7" x14ac:dyDescent="0.3">
      <c r="B18" s="152">
        <v>45672</v>
      </c>
      <c r="E18" s="45">
        <f>('Cash Flow 10 Yr'!H46*0.02)+'Exit Stops'!L50</f>
        <v>4540527.3743880959</v>
      </c>
      <c r="F18" s="22">
        <f>'Cash Flow 10 Yr'!$E$46*0.02</f>
        <v>54950.15</v>
      </c>
      <c r="G18" s="22">
        <f>'Cash Flow 10 Yr'!$E$46*0.02</f>
        <v>54950.15</v>
      </c>
    </row>
    <row r="19" spans="2:7" x14ac:dyDescent="0.3">
      <c r="B19" s="152">
        <v>45762</v>
      </c>
      <c r="F19" s="22">
        <f>'Cash Flow 10 Yr'!$E$46*0.02</f>
        <v>54950.15</v>
      </c>
      <c r="G19" s="22">
        <f>'Cash Flow 10 Yr'!$E$46*0.02</f>
        <v>54950.15</v>
      </c>
    </row>
    <row r="20" spans="2:7" x14ac:dyDescent="0.3">
      <c r="B20" s="152">
        <v>45853</v>
      </c>
      <c r="F20" s="22">
        <f>'Cash Flow 10 Yr'!$E$46*0.02</f>
        <v>54950.15</v>
      </c>
      <c r="G20" s="22">
        <f>'Cash Flow 10 Yr'!$E$46*0.02</f>
        <v>54950.15</v>
      </c>
    </row>
    <row r="21" spans="2:7" x14ac:dyDescent="0.3">
      <c r="B21" s="152">
        <v>45945</v>
      </c>
      <c r="F21" s="22">
        <f>'Cash Flow 10 Yr'!$E$46*0.02</f>
        <v>54950.15</v>
      </c>
      <c r="G21" s="22">
        <f>'Cash Flow 10 Yr'!$E$46*0.02</f>
        <v>54950.15</v>
      </c>
    </row>
    <row r="22" spans="2:7" x14ac:dyDescent="0.3">
      <c r="B22" s="152">
        <v>46037</v>
      </c>
      <c r="F22" s="22">
        <f>'Cash Flow 10 Yr'!$E$46*0.02</f>
        <v>54950.15</v>
      </c>
      <c r="G22" s="22">
        <f>'Cash Flow 10 Yr'!$E$46*0.02</f>
        <v>54950.15</v>
      </c>
    </row>
    <row r="23" spans="2:7" x14ac:dyDescent="0.3">
      <c r="B23" s="152">
        <v>46127</v>
      </c>
      <c r="F23" s="22">
        <f>'Cash Flow 10 Yr'!$E$46*0.02</f>
        <v>54950.15</v>
      </c>
      <c r="G23" s="22">
        <f>'Cash Flow 10 Yr'!$E$46*0.02</f>
        <v>54950.15</v>
      </c>
    </row>
    <row r="24" spans="2:7" x14ac:dyDescent="0.3">
      <c r="B24" s="152">
        <v>46218</v>
      </c>
      <c r="F24" s="22">
        <f>'Cash Flow 10 Yr'!$E$46*0.02</f>
        <v>54950.15</v>
      </c>
      <c r="G24" s="22">
        <f>'Cash Flow 10 Yr'!$E$46*0.02</f>
        <v>54950.15</v>
      </c>
    </row>
    <row r="25" spans="2:7" x14ac:dyDescent="0.3">
      <c r="B25" s="154">
        <v>46310</v>
      </c>
      <c r="C25" s="1"/>
      <c r="D25" s="1"/>
      <c r="E25" s="1"/>
      <c r="F25" s="22">
        <f>'Cash Flow 10 Yr'!$E$46*0.02</f>
        <v>54950.15</v>
      </c>
      <c r="G25" s="22">
        <f>'Cash Flow 10 Yr'!$E$46*0.02</f>
        <v>54950.15</v>
      </c>
    </row>
    <row r="26" spans="2:7" x14ac:dyDescent="0.3">
      <c r="B26" s="152">
        <v>46402</v>
      </c>
      <c r="F26" s="45">
        <f>('Cash Flow 10 Yr'!J46*0.02)+'Exit Stops'!N61</f>
        <v>4943253.973204053</v>
      </c>
      <c r="G26" s="22">
        <f>'Cash Flow 10 Yr'!$E$46*0.02</f>
        <v>54950.15</v>
      </c>
    </row>
    <row r="27" spans="2:7" x14ac:dyDescent="0.3">
      <c r="B27" s="152">
        <v>46492</v>
      </c>
      <c r="G27" s="22">
        <f>'Cash Flow 10 Yr'!$E$46*0.02</f>
        <v>54950.15</v>
      </c>
    </row>
    <row r="28" spans="2:7" x14ac:dyDescent="0.3">
      <c r="B28" s="152">
        <v>46583</v>
      </c>
      <c r="G28" s="22">
        <f>'Cash Flow 10 Yr'!$E$46*0.02</f>
        <v>54950.15</v>
      </c>
    </row>
    <row r="29" spans="2:7" x14ac:dyDescent="0.3">
      <c r="B29" s="152">
        <v>46675</v>
      </c>
      <c r="G29" s="22">
        <f>'Cash Flow 10 Yr'!$E$46*0.02</f>
        <v>54950.15</v>
      </c>
    </row>
    <row r="30" spans="2:7" x14ac:dyDescent="0.3">
      <c r="B30" s="152">
        <v>46767</v>
      </c>
      <c r="G30" s="22">
        <f>'Cash Flow 10 Yr'!$E$46*0.02</f>
        <v>54950.15</v>
      </c>
    </row>
    <row r="31" spans="2:7" x14ac:dyDescent="0.3">
      <c r="B31" s="152">
        <v>46858</v>
      </c>
      <c r="G31" s="22">
        <f>'Cash Flow 10 Yr'!$E$46*0.02</f>
        <v>54950.15</v>
      </c>
    </row>
    <row r="32" spans="2:7" x14ac:dyDescent="0.3">
      <c r="B32" s="152">
        <v>46949</v>
      </c>
      <c r="G32" s="22">
        <f>'Cash Flow 10 Yr'!$E$46*0.02</f>
        <v>54950.15</v>
      </c>
    </row>
    <row r="33" spans="2:7" x14ac:dyDescent="0.3">
      <c r="B33" s="154">
        <v>47041</v>
      </c>
      <c r="C33" s="1"/>
      <c r="D33" s="1"/>
      <c r="E33" s="1"/>
      <c r="F33" s="1"/>
      <c r="G33" s="22">
        <f>'Cash Flow 10 Yr'!$E$46*0.02</f>
        <v>54950.15</v>
      </c>
    </row>
    <row r="34" spans="2:7" x14ac:dyDescent="0.3">
      <c r="B34" s="154">
        <v>47118</v>
      </c>
      <c r="C34" s="1"/>
      <c r="D34" s="1"/>
      <c r="E34" s="1"/>
      <c r="F34" s="49"/>
      <c r="G34" s="54">
        <f>('Cash Flow 10 Yr'!L46*0.02)+'Exit Stops'!P72</f>
        <v>5257776.0862965249</v>
      </c>
    </row>
    <row r="35" spans="2:7" x14ac:dyDescent="0.3">
      <c r="B35" s="19" t="s">
        <v>213</v>
      </c>
      <c r="C35" s="19"/>
      <c r="D35" s="43">
        <f>XIRR(D7:D14,B7:B14)</f>
        <v>0.33301394581794741</v>
      </c>
      <c r="E35" s="43">
        <f>XIRR(E7:E18,B7:B18)</f>
        <v>0.24540941119194026</v>
      </c>
      <c r="F35" s="53">
        <f>XIRR(F7:F26,B7:B26)</f>
        <v>0.18803976178169254</v>
      </c>
      <c r="G35" s="43">
        <f>XIRR(G7:G34,B7:B34)</f>
        <v>0.16054274439811711</v>
      </c>
    </row>
  </sheetData>
  <mergeCells count="2">
    <mergeCell ref="D5:G5"/>
    <mergeCell ref="D1:F1"/>
  </mergeCells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70A55-F26A-4FB2-BEEC-2BFE612B3D3B}">
  <dimension ref="B1:M10"/>
  <sheetViews>
    <sheetView showGridLines="0" topLeftCell="A22" zoomScaleNormal="100" workbookViewId="0">
      <selection activeCell="L10" sqref="L10"/>
    </sheetView>
  </sheetViews>
  <sheetFormatPr defaultRowHeight="14.4" x14ac:dyDescent="0.3"/>
  <cols>
    <col min="4" max="4" width="25.44140625" customWidth="1"/>
    <col min="7" max="7" width="13.44140625" customWidth="1"/>
  </cols>
  <sheetData>
    <row r="1" spans="2:13" ht="18" x14ac:dyDescent="0.35">
      <c r="F1" s="275" t="s">
        <v>0</v>
      </c>
      <c r="G1" s="275"/>
      <c r="H1" s="275"/>
    </row>
    <row r="3" spans="2:13" ht="18" x14ac:dyDescent="0.35">
      <c r="B3" s="300" t="s">
        <v>220</v>
      </c>
      <c r="C3" s="300"/>
      <c r="D3" s="300"/>
    </row>
    <row r="4" spans="2:13" x14ac:dyDescent="0.3">
      <c r="B4" s="297">
        <f>'Dashboard Control'!N38</f>
        <v>8822507.5</v>
      </c>
      <c r="C4" s="297"/>
      <c r="D4" s="297"/>
      <c r="E4" s="297">
        <f>'Cash Flow 10 Yr'!H31</f>
        <v>750338.82622399996</v>
      </c>
      <c r="F4" s="297"/>
      <c r="G4" s="297"/>
      <c r="H4" s="295">
        <f>'Exit Stops'!M28</f>
        <v>0.18803976178169254</v>
      </c>
      <c r="I4" s="295"/>
      <c r="J4" s="295"/>
      <c r="K4" s="295">
        <f>'Exit Stops'!M27</f>
        <v>1.3011643082618911</v>
      </c>
      <c r="L4" s="295"/>
      <c r="M4" s="295"/>
    </row>
    <row r="5" spans="2:13" ht="15" thickBot="1" x14ac:dyDescent="0.35">
      <c r="B5" s="298"/>
      <c r="C5" s="298"/>
      <c r="D5" s="298"/>
      <c r="E5" s="298"/>
      <c r="F5" s="298"/>
      <c r="G5" s="298"/>
      <c r="H5" s="296"/>
      <c r="I5" s="296"/>
      <c r="J5" s="296"/>
      <c r="K5" s="296"/>
      <c r="L5" s="296"/>
      <c r="M5" s="296"/>
    </row>
    <row r="6" spans="2:13" x14ac:dyDescent="0.3">
      <c r="B6" s="294" t="str">
        <f>'Dashboard Control'!J38</f>
        <v>Total Acquisition, Improvements, Closing Costs</v>
      </c>
      <c r="C6" s="294"/>
      <c r="D6" s="294"/>
      <c r="E6" s="294" t="s">
        <v>221</v>
      </c>
      <c r="F6" s="294"/>
      <c r="G6" s="294"/>
      <c r="H6" s="294" t="s">
        <v>222</v>
      </c>
      <c r="I6" s="294"/>
      <c r="J6" s="294"/>
      <c r="K6" s="294" t="s">
        <v>223</v>
      </c>
      <c r="L6" s="294"/>
      <c r="M6" s="294"/>
    </row>
    <row r="8" spans="2:13" x14ac:dyDescent="0.3">
      <c r="B8" s="295">
        <f>'Dashboard Control'!H9</f>
        <v>8.9326050740952373E-2</v>
      </c>
      <c r="C8" s="295"/>
      <c r="D8" s="295"/>
      <c r="E8" s="297">
        <f>'Dashboard Control'!H8</f>
        <v>2839119.2088444363</v>
      </c>
      <c r="F8" s="297"/>
      <c r="G8" s="297"/>
    </row>
    <row r="9" spans="2:13" ht="18.600000000000001" thickBot="1" x14ac:dyDescent="0.4">
      <c r="B9" s="296"/>
      <c r="C9" s="296"/>
      <c r="D9" s="296"/>
      <c r="E9" s="298"/>
      <c r="F9" s="298"/>
      <c r="G9" s="298"/>
      <c r="H9" s="299">
        <f>Amorization!N6</f>
        <v>0</v>
      </c>
      <c r="I9" s="299"/>
      <c r="J9" s="299"/>
    </row>
    <row r="10" spans="2:13" x14ac:dyDescent="0.3">
      <c r="B10" s="294" t="s">
        <v>224</v>
      </c>
      <c r="C10" s="294"/>
      <c r="D10" s="294"/>
      <c r="E10" s="294" t="s">
        <v>225</v>
      </c>
      <c r="F10" s="294"/>
      <c r="G10" s="294"/>
      <c r="H10" s="294" t="s">
        <v>226</v>
      </c>
      <c r="I10" s="294"/>
      <c r="J10" s="294"/>
    </row>
  </sheetData>
  <mergeCells count="16">
    <mergeCell ref="F1:H1"/>
    <mergeCell ref="K6:M6"/>
    <mergeCell ref="K4:M5"/>
    <mergeCell ref="B6:D6"/>
    <mergeCell ref="B4:D5"/>
    <mergeCell ref="B3:D3"/>
    <mergeCell ref="E6:G6"/>
    <mergeCell ref="E4:G5"/>
    <mergeCell ref="H6:J6"/>
    <mergeCell ref="H4:J5"/>
    <mergeCell ref="B10:D10"/>
    <mergeCell ref="B8:D9"/>
    <mergeCell ref="E10:G10"/>
    <mergeCell ref="E8:G9"/>
    <mergeCell ref="H10:J10"/>
    <mergeCell ref="H9:J9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B63F08399D92449AAC66C243E97864" ma:contentTypeVersion="16" ma:contentTypeDescription="Create a new document." ma:contentTypeScope="" ma:versionID="a2b2009e132e719aa3c23838289e4b13">
  <xsd:schema xmlns:xsd="http://www.w3.org/2001/XMLSchema" xmlns:xs="http://www.w3.org/2001/XMLSchema" xmlns:p="http://schemas.microsoft.com/office/2006/metadata/properties" xmlns:ns2="86a7f2e9-7660-403e-9f95-ccb959120075" xmlns:ns3="e746b930-8e6c-484d-9c4c-2ab9c0e33363" targetNamespace="http://schemas.microsoft.com/office/2006/metadata/properties" ma:root="true" ma:fieldsID="5d5312bb51870159bce99c58648d139e" ns2:_="" ns3:_="">
    <xsd:import namespace="86a7f2e9-7660-403e-9f95-ccb959120075"/>
    <xsd:import namespace="e746b930-8e6c-484d-9c4c-2ab9c0e333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7f2e9-7660-403e-9f95-ccb9591200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1084d07-ae8d-407e-834d-f918011a9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6b930-8e6c-484d-9c4c-2ab9c0e3336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c62a693-d419-4af9-8cfc-f9e7315e6acd}" ma:internalName="TaxCatchAll" ma:showField="CatchAllData" ma:web="e746b930-8e6c-484d-9c4c-2ab9c0e333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a7f2e9-7660-403e-9f95-ccb959120075">
      <Terms xmlns="http://schemas.microsoft.com/office/infopath/2007/PartnerControls"/>
    </lcf76f155ced4ddcb4097134ff3c332f>
    <TaxCatchAll xmlns="e746b930-8e6c-484d-9c4c-2ab9c0e3336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268367-4174-472B-A9F7-C75344C40A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7f2e9-7660-403e-9f95-ccb959120075"/>
    <ds:schemaRef ds:uri="e746b930-8e6c-484d-9c4c-2ab9c0e333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F2073A-D299-4A63-8EE1-5D1DD1636E2E}">
  <ds:schemaRefs>
    <ds:schemaRef ds:uri="736b8367-c830-4045-b365-e4acf0dafe2c"/>
    <ds:schemaRef ds:uri="http://schemas.microsoft.com/office/2006/documentManagement/types"/>
    <ds:schemaRef ds:uri="d9563607-dd6b-4cea-9595-797ea79c0d03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86a7f2e9-7660-403e-9f95-ccb959120075"/>
    <ds:schemaRef ds:uri="e746b930-8e6c-484d-9c4c-2ab9c0e33363"/>
  </ds:schemaRefs>
</ds:datastoreItem>
</file>

<file path=customXml/itemProps3.xml><?xml version="1.0" encoding="utf-8"?>
<ds:datastoreItem xmlns:ds="http://schemas.openxmlformats.org/officeDocument/2006/customXml" ds:itemID="{B78D1B02-8DF0-48D7-A9D8-7091EE2C7A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Sources &amp; Uses</vt:lpstr>
      <vt:lpstr>Cash Flow 10 Yr</vt:lpstr>
      <vt:lpstr>Dashboard Control</vt:lpstr>
      <vt:lpstr>Rent Roll</vt:lpstr>
      <vt:lpstr>Amorization</vt:lpstr>
      <vt:lpstr>Exit Stops</vt:lpstr>
      <vt:lpstr>IRR Calculator</vt:lpstr>
      <vt:lpstr>Executive Summary</vt:lpstr>
      <vt:lpstr>'Sources &amp; Uses'!Print_Area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Consolati</dc:creator>
  <cp:keywords/>
  <dc:description/>
  <cp:lastModifiedBy>Andrew Consolati</cp:lastModifiedBy>
  <cp:revision/>
  <dcterms:created xsi:type="dcterms:W3CDTF">2020-11-03T16:42:39Z</dcterms:created>
  <dcterms:modified xsi:type="dcterms:W3CDTF">2022-05-02T20:14:14Z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0x0101001CB63F08399D92449AAC66C243E97864</vt:lpwstr>
  </property>
  <property fmtid="{D5CDD505-2E9C-101B-9397-08002B2CF9AE}" pid="3" name="MediaServiceImageTags">
    <vt:lpwstr/>
  </property>
</Properties>
</file>